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18/Kohn, Richard/18-430/"/>
    </mc:Choice>
  </mc:AlternateContent>
  <bookViews>
    <workbookView xWindow="0" yWindow="0" windowWidth="28800" windowHeight="11835"/>
  </bookViews>
  <sheets>
    <sheet name="2015-2016" sheetId="2" r:id="rId1"/>
  </sheets>
  <calcPr calcId="162913"/>
</workbook>
</file>

<file path=xl/calcChain.xml><?xml version="1.0" encoding="utf-8"?>
<calcChain xmlns="http://schemas.openxmlformats.org/spreadsheetml/2006/main">
  <c r="C60" i="2" l="1"/>
  <c r="C56" i="2"/>
  <c r="C55" i="2"/>
  <c r="C35" i="2"/>
  <c r="C33" i="2"/>
  <c r="C28" i="2"/>
  <c r="C12" i="2"/>
  <c r="C7" i="2"/>
  <c r="E76" i="2"/>
  <c r="E75" i="2"/>
  <c r="E57" i="2"/>
  <c r="E54" i="2"/>
  <c r="E35" i="2"/>
  <c r="E33" i="2"/>
  <c r="E28" i="2"/>
  <c r="E24" i="2"/>
  <c r="E7" i="2"/>
  <c r="E4" i="2"/>
  <c r="S50" i="2" l="1"/>
  <c r="J50" i="2"/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3" i="2"/>
  <c r="C77" i="2"/>
  <c r="J77" i="2" s="1"/>
  <c r="C74" i="2"/>
  <c r="C73" i="2"/>
  <c r="C72" i="2"/>
  <c r="C71" i="2"/>
  <c r="C70" i="2"/>
  <c r="C69" i="2"/>
  <c r="C67" i="2"/>
  <c r="C66" i="2"/>
  <c r="C65" i="2"/>
  <c r="C64" i="2"/>
  <c r="C63" i="2"/>
  <c r="C62" i="2"/>
  <c r="C59" i="2"/>
  <c r="C58" i="2"/>
  <c r="C53" i="2"/>
  <c r="C47" i="2"/>
  <c r="C46" i="2"/>
  <c r="C44" i="2"/>
  <c r="C42" i="2"/>
  <c r="C40" i="2"/>
  <c r="C39" i="2"/>
  <c r="C36" i="2"/>
  <c r="C32" i="2"/>
  <c r="C31" i="2"/>
  <c r="C30" i="2"/>
  <c r="C27" i="2"/>
  <c r="C26" i="2"/>
  <c r="C22" i="2"/>
  <c r="C20" i="2"/>
  <c r="C19" i="2"/>
  <c r="C18" i="2"/>
  <c r="C17" i="2"/>
  <c r="C16" i="2"/>
  <c r="C14" i="2"/>
  <c r="C13" i="2"/>
  <c r="C11" i="2"/>
  <c r="C10" i="2"/>
  <c r="C8" i="2"/>
  <c r="C6" i="2"/>
  <c r="C5" i="2"/>
  <c r="C3" i="2"/>
  <c r="B77" i="2"/>
  <c r="B74" i="2"/>
  <c r="B73" i="2"/>
  <c r="B72" i="2"/>
  <c r="B71" i="2"/>
  <c r="B70" i="2"/>
  <c r="B69" i="2"/>
  <c r="B67" i="2"/>
  <c r="B66" i="2"/>
  <c r="B65" i="2"/>
  <c r="B64" i="2"/>
  <c r="B63" i="2"/>
  <c r="B62" i="2"/>
  <c r="B59" i="2"/>
  <c r="B53" i="2"/>
  <c r="B47" i="2"/>
  <c r="B46" i="2"/>
  <c r="B44" i="2"/>
  <c r="B42" i="2"/>
  <c r="B40" i="2"/>
  <c r="B39" i="2"/>
  <c r="B36" i="2"/>
  <c r="B32" i="2"/>
  <c r="B31" i="2"/>
  <c r="B30" i="2"/>
  <c r="B27" i="2"/>
  <c r="B26" i="2"/>
  <c r="B22" i="2"/>
  <c r="B20" i="2"/>
  <c r="B19" i="2"/>
  <c r="B18" i="2"/>
  <c r="B17" i="2"/>
  <c r="B16" i="2"/>
  <c r="B14" i="2"/>
  <c r="B13" i="2"/>
  <c r="B11" i="2"/>
  <c r="B10" i="2"/>
  <c r="B8" i="2"/>
  <c r="B6" i="2"/>
  <c r="B5" i="2"/>
  <c r="E77" i="2"/>
  <c r="E74" i="2"/>
  <c r="E73" i="2"/>
  <c r="E72" i="2"/>
  <c r="E71" i="2"/>
  <c r="E70" i="2"/>
  <c r="E69" i="2"/>
  <c r="E67" i="2"/>
  <c r="E66" i="2"/>
  <c r="E65" i="2"/>
  <c r="E63" i="2"/>
  <c r="E62" i="2"/>
  <c r="E59" i="2"/>
  <c r="E58" i="2"/>
  <c r="E53" i="2"/>
  <c r="E47" i="2"/>
  <c r="E46" i="2"/>
  <c r="E44" i="2"/>
  <c r="E42" i="2"/>
  <c r="E40" i="2"/>
  <c r="E39" i="2"/>
  <c r="E36" i="2"/>
  <c r="E32" i="2"/>
  <c r="E31" i="2"/>
  <c r="E30" i="2"/>
  <c r="E27" i="2"/>
  <c r="E26" i="2"/>
  <c r="E22" i="2"/>
  <c r="E20" i="2"/>
  <c r="E19" i="2"/>
  <c r="E18" i="2"/>
  <c r="E17" i="2"/>
  <c r="E16" i="2"/>
  <c r="E14" i="2"/>
  <c r="E13" i="2"/>
  <c r="E11" i="2"/>
  <c r="E10" i="2"/>
  <c r="E8" i="2"/>
  <c r="E6" i="2"/>
  <c r="E5" i="2"/>
  <c r="E3" i="2"/>
  <c r="D8" i="2"/>
  <c r="D6" i="2"/>
  <c r="D5" i="2"/>
  <c r="D3" i="2"/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4" i="2"/>
  <c r="J5" i="2"/>
  <c r="J6" i="2"/>
  <c r="J7" i="2"/>
  <c r="J8" i="2"/>
  <c r="J9" i="2"/>
  <c r="J10" i="2"/>
  <c r="J3" i="2"/>
</calcChain>
</file>

<file path=xl/sharedStrings.xml><?xml version="1.0" encoding="utf-8"?>
<sst xmlns="http://schemas.openxmlformats.org/spreadsheetml/2006/main" count="98" uniqueCount="92">
  <si>
    <t>MAYFIELD WOODS MIDDLE</t>
  </si>
  <si>
    <t>WILDE LAKE MIDDLE</t>
  </si>
  <si>
    <t>BUSHY PARK ELEMENTARY</t>
  </si>
  <si>
    <t>ELKRIDGE ELEMENTARY</t>
  </si>
  <si>
    <t>HOLLIFIELD STATION ELEMENTARY</t>
  </si>
  <si>
    <t>HAMMOND MIDDLE SCHOOL</t>
  </si>
  <si>
    <t>HAMMOND HIGH</t>
  </si>
  <si>
    <t>ELLICOTT MILLS MIDDLE</t>
  </si>
  <si>
    <t>ST. JOHNS LANE ELEMENTARY</t>
  </si>
  <si>
    <t>LIME KILN MIDDLE</t>
  </si>
  <si>
    <t>GLENELG HIGH</t>
  </si>
  <si>
    <t>CENTENNIAL HIGH</t>
  </si>
  <si>
    <t>GUILFORD ELEMENTARY</t>
  </si>
  <si>
    <t>BOLLMAN BRIDGE ELEMENTARY</t>
  </si>
  <si>
    <t>VETERANS ELEMENTARY</t>
  </si>
  <si>
    <t>BONNIE BRANCH MIDDLE</t>
  </si>
  <si>
    <t>TRIADELPHIA RIDGE ELEMENTARY</t>
  </si>
  <si>
    <t>LAKE ELKHORN MIDDLE</t>
  </si>
  <si>
    <t>CEDAR LANE SPECIAL CENTER</t>
  </si>
  <si>
    <t>PATUXENT VALLEY MIDDLE</t>
  </si>
  <si>
    <t>ATHOLTON ELEMENTARY</t>
  </si>
  <si>
    <t>CLARKSVILLE MIDDLE</t>
  </si>
  <si>
    <t>HOWARD HIGH</t>
  </si>
  <si>
    <t>RIVER HILL HIGH</t>
  </si>
  <si>
    <t>HAMMOND ELEMENTARY</t>
  </si>
  <si>
    <t>PATAPSCO MIDDLE</t>
  </si>
  <si>
    <t>CLEMENS CROSSING ELEMENTARY</t>
  </si>
  <si>
    <t>OAKLAND MILLS HIGH</t>
  </si>
  <si>
    <t>MOUNT VIEW MIDDLE</t>
  </si>
  <si>
    <t>DAYTON OAKS</t>
  </si>
  <si>
    <t>LONG REACH HIGH</t>
  </si>
  <si>
    <t>MARRIOTTS RIDGE HIGH</t>
  </si>
  <si>
    <t>WEST FRIENDSHIP ELEMENTARY</t>
  </si>
  <si>
    <t>MURRAY HILL MIDDLE</t>
  </si>
  <si>
    <t>BURLEIGH MANOR MIDDLE SCHOOL</t>
  </si>
  <si>
    <t>DEEP RUN ELEMENTARY</t>
  </si>
  <si>
    <t>ELKRIDGE LANDING MIDDLE</t>
  </si>
  <si>
    <t>GORMAN CROSSING ELEMENTARY</t>
  </si>
  <si>
    <t>RESERVOIR HIGH</t>
  </si>
  <si>
    <t>DUNLOGGIN MIDDLE</t>
  </si>
  <si>
    <t>SWANSFIELD ELEMENTARY</t>
  </si>
  <si>
    <t>HOMEWOOD SCHOOL</t>
  </si>
  <si>
    <t>WORTHINGTON ELEMENTARY</t>
  </si>
  <si>
    <t>FOREST RIDGE ELEMENTARY</t>
  </si>
  <si>
    <t>STEVENS FOREST ELEMENTARY</t>
  </si>
  <si>
    <t>JEFFERS HILL ELEMENTARY</t>
  </si>
  <si>
    <t>DUCKETTS LANE ELEMENTARY</t>
  </si>
  <si>
    <t>THUNDER HILL ELEMENTARY</t>
  </si>
  <si>
    <t>BRYANT WOODS ELEMENTARY</t>
  </si>
  <si>
    <t>MOUNT HEBRON HIGH</t>
  </si>
  <si>
    <t>CENTENNIAL LANE ELEMENTARY</t>
  </si>
  <si>
    <t>MANOR WOODS ELEMENTARY</t>
  </si>
  <si>
    <t>CLARKSVILLE ELEMENTARY</t>
  </si>
  <si>
    <t>FULTON ELEMENTARY</t>
  </si>
  <si>
    <t>PHELPS LUCK ELEMENTARY</t>
  </si>
  <si>
    <t>LISBON ELEMENTARY</t>
  </si>
  <si>
    <t>GLENWOOD MIDDLE</t>
  </si>
  <si>
    <t>WATERLOO ELEMENTARY</t>
  </si>
  <si>
    <t>ROCKBURN ELEMENTARY</t>
  </si>
  <si>
    <t>CRADLEROCK ELEMENTARY</t>
  </si>
  <si>
    <t>ILCHESTER ELEMENTARY</t>
  </si>
  <si>
    <t>BELLOWS SPRING ELEMENTARY</t>
  </si>
  <si>
    <t>WILDE LAKE HIGH</t>
  </si>
  <si>
    <t>LAUREL WOODS ELEMENTARY</t>
  </si>
  <si>
    <t>NORTHFIELD ELEMENTARY</t>
  </si>
  <si>
    <t>LONGFELLOW ELEMENTARY</t>
  </si>
  <si>
    <t>WAVERLY ELEMENTARY</t>
  </si>
  <si>
    <t>HARPERS CHOICE MIDDLE</t>
  </si>
  <si>
    <t>TALBOTT SPRINGS ELEMENTARY</t>
  </si>
  <si>
    <t>POINTERS RUN ELEMENTARY</t>
  </si>
  <si>
    <t>OAKLAND MILLS MIDDLE</t>
  </si>
  <si>
    <t>FOLLY QUARTER MIDDLE</t>
  </si>
  <si>
    <t>RUNNING BROOK ELEMENTARY</t>
  </si>
  <si>
    <t>ATHOLTON HIGH</t>
  </si>
  <si>
    <t>School</t>
  </si>
  <si>
    <t>THOMAS VIADUCT MIDDLE</t>
  </si>
  <si>
    <t>Number of FTE teachers Include teachers for grades K-12, and comparable ungraded levels</t>
  </si>
  <si>
    <t>Amount of salary expenditures for teachers associated with regular K-12 instruction.</t>
  </si>
  <si>
    <t>Amount of salary expenditures for FTE instructional aides</t>
  </si>
  <si>
    <t>Number of FTE instructional aides</t>
  </si>
  <si>
    <t>Number of FTE support services staff (for pupils and for instructional staff)</t>
  </si>
  <si>
    <t>Amount of salary expenditures for FTE support services staff</t>
  </si>
  <si>
    <t>Number of FTE school administration staff</t>
  </si>
  <si>
    <t>Amount of salary expenditures for FTE school administration staff</t>
  </si>
  <si>
    <t>#41. Full-time Equivalency Counts and Salary Amounts for Staff Funded with Federal, State, and Local Funds. Include personnel for preschool, grades K-12,</t>
  </si>
  <si>
    <t xml:space="preserve"> #36, #37.  Full-time Equivalency Count and Salary Amount for Teachers and Staff Funded with State and Local Funds.  For Schools and justice facilities, grades K-12</t>
  </si>
  <si>
    <t>#38. Amount of salary expenditures for total personnel at the school level funded with state and local funds.
Include salary expenditures for personnel associated with grades K-12</t>
  </si>
  <si>
    <t xml:space="preserve">#39. Amount of non-personnel expenditures at the school level associated with regular K-12 instruction,
pupil support, instructional support, and school administration, funded with state and local funds.  </t>
  </si>
  <si>
    <t>#40. Amount of salary expenditures for teachers at the school level funded with federal, state, and local funds. Include salary expenditures for teachers associated with preschool-grade 12 instruction
pupil support, instructional support, and school administration, funded with state and local funds</t>
  </si>
  <si>
    <t>#42. Amount of salary expenditures for total personnel at the school level funded with federal,
state, and local funds. Include salary expenditures for personnel associated with preschool-grade 12</t>
  </si>
  <si>
    <t>#43. Amount of non-personnel expenditures at the school level associated with preschool-grade 12
instruction, pupil support, instructional support, and school administration, funded with federal, state, and local funds.</t>
  </si>
  <si>
    <t>69-7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</si>
</sst>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Font="1"/>
    <xf numFmtId="2" fontId="3" fillId="8" borderId="2" xfId="0" applyNumberFormat="1" applyFont="1" applyFill="1" applyBorder="1" applyAlignment="1">
      <alignment horizontal="center" vertical="top" wrapText="1"/>
    </xf>
    <xf numFmtId="2" fontId="3" fillId="10" borderId="2" xfId="0" applyNumberFormat="1" applyFont="1" applyFill="1" applyBorder="1" applyAlignment="1">
      <alignment horizontal="center" vertical="top" wrapText="1"/>
    </xf>
    <xf numFmtId="2" fontId="3" fillId="16" borderId="2" xfId="0" applyNumberFormat="1" applyFont="1" applyFill="1" applyBorder="1" applyAlignment="1">
      <alignment horizontal="center" vertical="top" wrapText="1"/>
    </xf>
    <xf numFmtId="2" fontId="3" fillId="18" borderId="2" xfId="0" applyNumberFormat="1" applyFont="1" applyFill="1" applyBorder="1" applyAlignment="1">
      <alignment horizontal="center" vertical="top" wrapText="1"/>
    </xf>
    <xf numFmtId="2" fontId="3" fillId="20" borderId="2" xfId="0" applyNumberFormat="1" applyFont="1" applyFill="1" applyBorder="1" applyAlignment="1">
      <alignment horizontal="center" vertical="top" wrapText="1"/>
    </xf>
    <xf numFmtId="43" fontId="0" fillId="0" borderId="0" xfId="1" applyFont="1"/>
    <xf numFmtId="164" fontId="3" fillId="5" borderId="1" xfId="1" applyNumberFormat="1" applyFont="1" applyFill="1" applyBorder="1" applyAlignment="1">
      <alignment horizontal="center" vertical="top" wrapText="1"/>
    </xf>
    <xf numFmtId="164" fontId="0" fillId="0" borderId="0" xfId="1" applyNumberFormat="1" applyFont="1"/>
    <xf numFmtId="165" fontId="0" fillId="0" borderId="0" xfId="0" applyNumberFormat="1"/>
    <xf numFmtId="165" fontId="3" fillId="5" borderId="1" xfId="1" applyNumberFormat="1" applyFont="1" applyFill="1" applyBorder="1" applyAlignment="1">
      <alignment horizontal="center" vertical="top" wrapText="1"/>
    </xf>
    <xf numFmtId="165" fontId="3" fillId="7" borderId="2" xfId="1" applyNumberFormat="1" applyFont="1" applyFill="1" applyBorder="1" applyAlignment="1">
      <alignment horizontal="center" vertical="top" wrapText="1"/>
    </xf>
    <xf numFmtId="165" fontId="3" fillId="9" borderId="2" xfId="1" applyNumberFormat="1" applyFont="1" applyFill="1" applyBorder="1" applyAlignment="1">
      <alignment horizontal="center" vertical="top" wrapText="1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11" borderId="2" xfId="0" applyNumberFormat="1" applyFont="1" applyFill="1" applyBorder="1" applyAlignment="1">
      <alignment horizontal="center" vertical="top" wrapText="1"/>
    </xf>
    <xf numFmtId="165" fontId="1" fillId="0" borderId="0" xfId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4" fontId="3" fillId="12" borderId="2" xfId="1" applyNumberFormat="1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3" fillId="6" borderId="2" xfId="0" applyNumberFormat="1" applyFont="1" applyFill="1" applyBorder="1" applyAlignment="1">
      <alignment horizontal="center" vertical="top" wrapText="1"/>
    </xf>
    <xf numFmtId="165" fontId="3" fillId="14" borderId="2" xfId="0" applyNumberFormat="1" applyFont="1" applyFill="1" applyBorder="1" applyAlignment="1">
      <alignment horizontal="center" vertical="top" wrapText="1"/>
    </xf>
    <xf numFmtId="165" fontId="0" fillId="0" borderId="0" xfId="1" applyNumberFormat="1" applyFont="1" applyFill="1" applyAlignment="1">
      <alignment horizontal="center"/>
    </xf>
    <xf numFmtId="165" fontId="3" fillId="17" borderId="2" xfId="0" applyNumberFormat="1" applyFont="1" applyFill="1" applyBorder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0" fontId="2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0" fillId="0" borderId="0" xfId="0" applyFill="1"/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43" fontId="3" fillId="19" borderId="1" xfId="1" applyFont="1" applyFill="1" applyBorder="1" applyAlignment="1">
      <alignment horizontal="center" vertical="top" wrapText="1"/>
    </xf>
    <xf numFmtId="43" fontId="0" fillId="19" borderId="1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 wrapText="1"/>
    </xf>
    <xf numFmtId="0" fontId="0" fillId="13" borderId="1" xfId="0" applyFill="1" applyBorder="1" applyAlignment="1">
      <alignment horizontal="center" vertical="top" wrapText="1"/>
    </xf>
    <xf numFmtId="0" fontId="3" fillId="15" borderId="6" xfId="0" applyFont="1" applyFill="1" applyBorder="1" applyAlignment="1">
      <alignment horizontal="center" vertical="top" wrapText="1"/>
    </xf>
    <xf numFmtId="0" fontId="3" fillId="15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workbookViewId="0">
      <selection activeCell="F10" sqref="F10"/>
    </sheetView>
  </sheetViews>
  <sheetFormatPr defaultRowHeight="12.75" x14ac:dyDescent="0.2"/>
  <cols>
    <col min="1" max="1" width="34.28515625" style="5" bestFit="1" customWidth="1"/>
    <col min="2" max="2" width="21.28515625" style="21" customWidth="1"/>
    <col min="3" max="3" width="21.85546875" style="15" customWidth="1"/>
    <col min="4" max="4" width="19.28515625" style="21" customWidth="1"/>
    <col min="5" max="5" width="23" style="4" customWidth="1"/>
    <col min="6" max="6" width="20.28515625" style="21" customWidth="1"/>
    <col min="7" max="7" width="19.42578125" style="4" customWidth="1"/>
    <col min="8" max="8" width="16.42578125" style="25" customWidth="1"/>
    <col min="9" max="9" width="16.7109375" style="28" customWidth="1"/>
    <col min="10" max="10" width="26.5703125" style="5" customWidth="1"/>
    <col min="11" max="11" width="29.85546875" style="5" customWidth="1"/>
    <col min="12" max="12" width="29.140625" style="5" customWidth="1"/>
    <col min="13" max="13" width="17.85546875" style="16" customWidth="1"/>
    <col min="14" max="14" width="17.85546875" style="5" customWidth="1"/>
    <col min="15" max="15" width="17.85546875" style="16" customWidth="1"/>
    <col min="16" max="16" width="17.85546875" style="5" customWidth="1"/>
    <col min="17" max="17" width="17.85546875" style="16" customWidth="1"/>
    <col min="18" max="18" width="17.85546875" style="5" customWidth="1"/>
    <col min="19" max="19" width="27.42578125" style="5" customWidth="1"/>
    <col min="20" max="20" width="33.7109375" style="13" customWidth="1"/>
    <col min="21" max="16384" width="9.140625" style="5"/>
  </cols>
  <sheetData>
    <row r="1" spans="1:20" ht="45.75" customHeight="1" x14ac:dyDescent="0.2">
      <c r="B1" s="40" t="s">
        <v>85</v>
      </c>
      <c r="C1" s="41"/>
      <c r="D1" s="42"/>
      <c r="E1" s="42"/>
      <c r="F1" s="42"/>
      <c r="G1" s="42"/>
      <c r="H1" s="42"/>
      <c r="I1" s="43"/>
      <c r="J1" s="48" t="s">
        <v>86</v>
      </c>
      <c r="K1" s="50" t="s">
        <v>87</v>
      </c>
      <c r="L1" s="52" t="s">
        <v>88</v>
      </c>
      <c r="M1" s="54" t="s">
        <v>84</v>
      </c>
      <c r="N1" s="55"/>
      <c r="O1" s="55"/>
      <c r="P1" s="55"/>
      <c r="Q1" s="55"/>
      <c r="R1" s="56"/>
      <c r="S1" s="44" t="s">
        <v>89</v>
      </c>
      <c r="T1" s="46" t="s">
        <v>90</v>
      </c>
    </row>
    <row r="2" spans="1:20" s="2" customFormat="1" ht="102" customHeight="1" x14ac:dyDescent="0.2">
      <c r="A2" s="6" t="s">
        <v>74</v>
      </c>
      <c r="B2" s="17" t="s">
        <v>76</v>
      </c>
      <c r="C2" s="14" t="s">
        <v>77</v>
      </c>
      <c r="D2" s="18" t="s">
        <v>79</v>
      </c>
      <c r="E2" s="8" t="s">
        <v>78</v>
      </c>
      <c r="F2" s="19" t="s">
        <v>80</v>
      </c>
      <c r="G2" s="9" t="s">
        <v>81</v>
      </c>
      <c r="H2" s="22" t="s">
        <v>82</v>
      </c>
      <c r="I2" s="27" t="s">
        <v>83</v>
      </c>
      <c r="J2" s="49"/>
      <c r="K2" s="51"/>
      <c r="L2" s="53"/>
      <c r="M2" s="32" t="s">
        <v>79</v>
      </c>
      <c r="N2" s="12" t="s">
        <v>78</v>
      </c>
      <c r="O2" s="33" t="s">
        <v>80</v>
      </c>
      <c r="P2" s="10" t="s">
        <v>81</v>
      </c>
      <c r="Q2" s="35" t="s">
        <v>82</v>
      </c>
      <c r="R2" s="11" t="s">
        <v>83</v>
      </c>
      <c r="S2" s="45"/>
      <c r="T2" s="47"/>
    </row>
    <row r="3" spans="1:20" x14ac:dyDescent="0.2">
      <c r="A3" s="1" t="s">
        <v>20</v>
      </c>
      <c r="B3" s="20">
        <v>34</v>
      </c>
      <c r="C3" s="31">
        <f>1401833.81-165817.12</f>
        <v>1236016.69</v>
      </c>
      <c r="D3" s="30">
        <f>16-3</f>
        <v>13</v>
      </c>
      <c r="E3" s="29">
        <f>211683.92-31160.08</f>
        <v>180523.84000000003</v>
      </c>
      <c r="F3" s="30">
        <v>8</v>
      </c>
      <c r="G3" s="29">
        <v>205277.58000000002</v>
      </c>
      <c r="H3" s="23">
        <v>2</v>
      </c>
      <c r="I3" s="29">
        <v>124100.8</v>
      </c>
      <c r="J3" s="31">
        <f>+C3+E3+G3+I3</f>
        <v>1745918.9100000001</v>
      </c>
      <c r="K3" s="31">
        <v>39747.43</v>
      </c>
      <c r="L3" s="31">
        <v>1401833.8099999996</v>
      </c>
      <c r="M3" s="21">
        <v>16</v>
      </c>
      <c r="N3" s="31">
        <v>211683.92</v>
      </c>
      <c r="O3" s="34">
        <v>8</v>
      </c>
      <c r="P3" s="31">
        <v>205277.58000000002</v>
      </c>
      <c r="Q3" s="34">
        <v>2</v>
      </c>
      <c r="R3" s="31">
        <v>124100.8</v>
      </c>
      <c r="S3" s="31">
        <f>+L3+N3+P3+R3</f>
        <v>1942896.1099999996</v>
      </c>
      <c r="T3" s="31">
        <v>39747.43</v>
      </c>
    </row>
    <row r="4" spans="1:20" x14ac:dyDescent="0.2">
      <c r="A4" s="1" t="s">
        <v>73</v>
      </c>
      <c r="B4" s="20">
        <v>114</v>
      </c>
      <c r="C4" s="31">
        <v>4348112.4399999995</v>
      </c>
      <c r="D4" s="20">
        <v>16</v>
      </c>
      <c r="E4" s="3">
        <f>262649.23-12818.4</f>
        <v>249830.83</v>
      </c>
      <c r="F4" s="20">
        <v>30</v>
      </c>
      <c r="G4" s="3">
        <v>764650.42</v>
      </c>
      <c r="H4" s="23">
        <v>5</v>
      </c>
      <c r="I4" s="29">
        <v>290321.16000000003</v>
      </c>
      <c r="J4" s="31">
        <f t="shared" ref="J4:J67" si="0">+C4+E4+G4+I4</f>
        <v>5652914.8499999996</v>
      </c>
      <c r="K4" s="31">
        <v>216952.69</v>
      </c>
      <c r="L4" s="31">
        <v>4348112.4399999995</v>
      </c>
      <c r="M4" s="21">
        <v>16</v>
      </c>
      <c r="N4" s="31">
        <v>262649.23</v>
      </c>
      <c r="O4" s="21">
        <v>30</v>
      </c>
      <c r="P4" s="31">
        <v>764650.42</v>
      </c>
      <c r="Q4" s="21">
        <v>5</v>
      </c>
      <c r="R4" s="31">
        <v>290321.16000000003</v>
      </c>
      <c r="S4" s="31">
        <f t="shared" ref="S4:S67" si="1">+L4+N4+P4+R4</f>
        <v>5665733.25</v>
      </c>
      <c r="T4" s="31">
        <v>216952.69</v>
      </c>
    </row>
    <row r="5" spans="1:20" x14ac:dyDescent="0.2">
      <c r="A5" s="1" t="s">
        <v>61</v>
      </c>
      <c r="B5" s="20">
        <f>68-7</f>
        <v>61</v>
      </c>
      <c r="C5" s="31">
        <f>2465415.93-259501.96</f>
        <v>2205913.9700000002</v>
      </c>
      <c r="D5" s="20">
        <f>31-6</f>
        <v>25</v>
      </c>
      <c r="E5" s="3">
        <f>446915-59787.84</f>
        <v>387127.16000000003</v>
      </c>
      <c r="F5" s="20">
        <v>13</v>
      </c>
      <c r="G5" s="3">
        <v>329226.43000000005</v>
      </c>
      <c r="H5" s="23">
        <v>2</v>
      </c>
      <c r="I5" s="29">
        <v>134404.47999999998</v>
      </c>
      <c r="J5" s="31">
        <f t="shared" si="0"/>
        <v>3056672.0400000005</v>
      </c>
      <c r="K5" s="31">
        <v>61587.48</v>
      </c>
      <c r="L5" s="31">
        <v>2465415.9299999992</v>
      </c>
      <c r="M5" s="21">
        <v>31</v>
      </c>
      <c r="N5" s="31">
        <v>446915</v>
      </c>
      <c r="O5" s="21">
        <v>13</v>
      </c>
      <c r="P5" s="31">
        <v>329226.43000000005</v>
      </c>
      <c r="Q5" s="21">
        <v>2</v>
      </c>
      <c r="R5" s="31">
        <v>134404.47999999998</v>
      </c>
      <c r="S5" s="31">
        <f t="shared" si="1"/>
        <v>3375961.8399999994</v>
      </c>
      <c r="T5" s="31">
        <v>61587.48</v>
      </c>
    </row>
    <row r="6" spans="1:20" x14ac:dyDescent="0.2">
      <c r="A6" s="1" t="s">
        <v>13</v>
      </c>
      <c r="B6" s="26">
        <f>77-6</f>
        <v>71</v>
      </c>
      <c r="C6" s="31">
        <f>2646482.01-201134.39</f>
        <v>2445347.6199999996</v>
      </c>
      <c r="D6" s="26">
        <f>32-4</f>
        <v>28</v>
      </c>
      <c r="E6" s="3">
        <f>488443.19-56514.64</f>
        <v>431928.55</v>
      </c>
      <c r="F6" s="20">
        <v>13</v>
      </c>
      <c r="G6" s="3">
        <v>285271.76</v>
      </c>
      <c r="H6" s="23">
        <v>2</v>
      </c>
      <c r="I6" s="29">
        <v>117183.92</v>
      </c>
      <c r="J6" s="31">
        <f t="shared" si="0"/>
        <v>3279731.8499999996</v>
      </c>
      <c r="K6" s="31">
        <v>63932.9</v>
      </c>
      <c r="L6" s="31">
        <v>2646482.0099999988</v>
      </c>
      <c r="M6" s="21">
        <v>32</v>
      </c>
      <c r="N6" s="31">
        <v>488443.19000000006</v>
      </c>
      <c r="O6" s="21">
        <v>13</v>
      </c>
      <c r="P6" s="31">
        <v>285271.76</v>
      </c>
      <c r="Q6" s="21">
        <v>2</v>
      </c>
      <c r="R6" s="31">
        <v>117183.92</v>
      </c>
      <c r="S6" s="31">
        <f t="shared" si="1"/>
        <v>3537380.879999999</v>
      </c>
      <c r="T6" s="31">
        <v>63932.9</v>
      </c>
    </row>
    <row r="7" spans="1:20" x14ac:dyDescent="0.2">
      <c r="A7" s="1" t="s">
        <v>15</v>
      </c>
      <c r="B7" s="26">
        <v>57</v>
      </c>
      <c r="C7" s="31">
        <f>2231938.94-41865.42</f>
        <v>2190073.52</v>
      </c>
      <c r="D7" s="26">
        <v>11</v>
      </c>
      <c r="E7" s="3">
        <f>195069.75-62939.52</f>
        <v>132130.23000000001</v>
      </c>
      <c r="F7" s="20">
        <v>15</v>
      </c>
      <c r="G7" s="3">
        <v>333386.68</v>
      </c>
      <c r="H7" s="23">
        <v>2</v>
      </c>
      <c r="I7" s="29">
        <v>139556.32</v>
      </c>
      <c r="J7" s="31">
        <f t="shared" si="0"/>
        <v>2795146.75</v>
      </c>
      <c r="K7" s="31">
        <v>83261.509999999995</v>
      </c>
      <c r="L7" s="31">
        <v>2231938.9399999995</v>
      </c>
      <c r="M7" s="21">
        <v>11</v>
      </c>
      <c r="N7" s="31">
        <v>195069.75</v>
      </c>
      <c r="O7" s="21">
        <v>15</v>
      </c>
      <c r="P7" s="31">
        <v>333386.68</v>
      </c>
      <c r="Q7" s="21">
        <v>2</v>
      </c>
      <c r="R7" s="31">
        <v>139556.32</v>
      </c>
      <c r="S7" s="31">
        <f t="shared" si="1"/>
        <v>2899951.6899999995</v>
      </c>
      <c r="T7" s="31">
        <v>83261.509999999995</v>
      </c>
    </row>
    <row r="8" spans="1:20" x14ac:dyDescent="0.2">
      <c r="A8" s="1" t="s">
        <v>48</v>
      </c>
      <c r="B8" s="26">
        <f>51-5</f>
        <v>46</v>
      </c>
      <c r="C8" s="31">
        <f>1713279.03-150873.68</f>
        <v>1562405.35</v>
      </c>
      <c r="D8" s="26">
        <f>16-3</f>
        <v>13</v>
      </c>
      <c r="E8" s="3">
        <f>253263.9-52888.64</f>
        <v>200375.26</v>
      </c>
      <c r="F8" s="20">
        <v>9</v>
      </c>
      <c r="G8" s="3">
        <v>231414.75999999998</v>
      </c>
      <c r="H8" s="23">
        <v>2</v>
      </c>
      <c r="I8" s="29">
        <v>121195.42</v>
      </c>
      <c r="J8" s="31">
        <f t="shared" si="0"/>
        <v>2115390.79</v>
      </c>
      <c r="K8" s="31">
        <v>32651.98</v>
      </c>
      <c r="L8" s="31">
        <v>1713279.0299999998</v>
      </c>
      <c r="M8" s="21">
        <v>16</v>
      </c>
      <c r="N8" s="31">
        <v>253263.90000000002</v>
      </c>
      <c r="O8" s="21">
        <v>9</v>
      </c>
      <c r="P8" s="31">
        <v>231414.75999999998</v>
      </c>
      <c r="Q8" s="21">
        <v>2</v>
      </c>
      <c r="R8" s="31">
        <v>121195.42</v>
      </c>
      <c r="S8" s="31">
        <f t="shared" si="1"/>
        <v>2319153.1099999994</v>
      </c>
      <c r="T8" s="31">
        <v>32651.98</v>
      </c>
    </row>
    <row r="9" spans="1:20" x14ac:dyDescent="0.2">
      <c r="A9" s="1" t="s">
        <v>34</v>
      </c>
      <c r="B9" s="26">
        <v>59</v>
      </c>
      <c r="C9" s="31">
        <v>2234374.6299999994</v>
      </c>
      <c r="D9" s="26">
        <v>6</v>
      </c>
      <c r="E9" s="3">
        <v>81853.23000000001</v>
      </c>
      <c r="F9" s="20">
        <v>14</v>
      </c>
      <c r="G9" s="3">
        <v>344528.39</v>
      </c>
      <c r="H9" s="23">
        <v>2</v>
      </c>
      <c r="I9" s="29">
        <v>119185.94</v>
      </c>
      <c r="J9" s="31">
        <f t="shared" si="0"/>
        <v>2779942.1899999995</v>
      </c>
      <c r="K9" s="31">
        <v>81543.17</v>
      </c>
      <c r="L9" s="31">
        <v>2234374.6299999994</v>
      </c>
      <c r="M9" s="21">
        <v>6</v>
      </c>
      <c r="N9" s="31">
        <v>81853.23000000001</v>
      </c>
      <c r="O9" s="21">
        <v>14</v>
      </c>
      <c r="P9" s="31">
        <v>344528.39</v>
      </c>
      <c r="Q9" s="21">
        <v>2</v>
      </c>
      <c r="R9" s="31">
        <v>119185.94</v>
      </c>
      <c r="S9" s="31">
        <f t="shared" si="1"/>
        <v>2779942.1899999995</v>
      </c>
      <c r="T9" s="31">
        <v>81543.17</v>
      </c>
    </row>
    <row r="10" spans="1:20" x14ac:dyDescent="0.2">
      <c r="A10" s="1" t="s">
        <v>2</v>
      </c>
      <c r="B10" s="26">
        <f>45-5</f>
        <v>40</v>
      </c>
      <c r="C10" s="31">
        <f>1880003.34-200330.01</f>
        <v>1679673.33</v>
      </c>
      <c r="D10" s="26">
        <v>12</v>
      </c>
      <c r="E10" s="3">
        <f>216215.2-18094.72</f>
        <v>198120.48</v>
      </c>
      <c r="F10" s="20">
        <v>14</v>
      </c>
      <c r="G10" s="3">
        <v>346421.06</v>
      </c>
      <c r="H10" s="23">
        <v>2</v>
      </c>
      <c r="I10" s="29">
        <v>141043.71000000002</v>
      </c>
      <c r="J10" s="31">
        <f t="shared" si="0"/>
        <v>2365258.58</v>
      </c>
      <c r="K10" s="31">
        <v>52530.33</v>
      </c>
      <c r="L10" s="31">
        <v>1880003.3399999994</v>
      </c>
      <c r="M10" s="21">
        <v>13</v>
      </c>
      <c r="N10" s="31">
        <v>216215.2</v>
      </c>
      <c r="O10" s="21">
        <v>14</v>
      </c>
      <c r="P10" s="31">
        <v>346421.06</v>
      </c>
      <c r="Q10" s="21">
        <v>2</v>
      </c>
      <c r="R10" s="31">
        <v>141043.71000000002</v>
      </c>
      <c r="S10" s="31">
        <f t="shared" si="1"/>
        <v>2583683.3099999991</v>
      </c>
      <c r="T10" s="31">
        <v>52530.33</v>
      </c>
    </row>
    <row r="11" spans="1:20" x14ac:dyDescent="0.2">
      <c r="A11" s="1" t="s">
        <v>18</v>
      </c>
      <c r="B11" s="26">
        <f>43-1</f>
        <v>42</v>
      </c>
      <c r="C11" s="31">
        <f>1750045.66-25763.29</f>
        <v>1724282.3699999999</v>
      </c>
      <c r="D11" s="26">
        <v>45</v>
      </c>
      <c r="E11" s="3">
        <f>793119.93-9921.52</f>
        <v>783198.41</v>
      </c>
      <c r="F11" s="20">
        <v>9</v>
      </c>
      <c r="G11" s="3">
        <v>268537.56</v>
      </c>
      <c r="H11" s="23">
        <v>2</v>
      </c>
      <c r="I11" s="29">
        <v>127015.1</v>
      </c>
      <c r="J11" s="31">
        <f t="shared" si="0"/>
        <v>2903033.44</v>
      </c>
      <c r="K11" s="31">
        <v>46108.92</v>
      </c>
      <c r="L11" s="31">
        <v>1750045.6599999997</v>
      </c>
      <c r="M11" s="21">
        <v>46</v>
      </c>
      <c r="N11" s="31">
        <v>793119.9299999997</v>
      </c>
      <c r="O11" s="21">
        <v>9</v>
      </c>
      <c r="P11" s="31">
        <v>268537.56</v>
      </c>
      <c r="Q11" s="21">
        <v>2</v>
      </c>
      <c r="R11" s="31">
        <v>127015.1</v>
      </c>
      <c r="S11" s="31">
        <f t="shared" si="1"/>
        <v>2938718.2499999995</v>
      </c>
      <c r="T11" s="31">
        <v>46108.92</v>
      </c>
    </row>
    <row r="12" spans="1:20" x14ac:dyDescent="0.2">
      <c r="A12" s="1" t="s">
        <v>11</v>
      </c>
      <c r="B12" s="26">
        <v>106</v>
      </c>
      <c r="C12" s="31">
        <f>4070551.76-25878.13</f>
        <v>4044673.63</v>
      </c>
      <c r="D12" s="26">
        <v>14</v>
      </c>
      <c r="E12" s="3">
        <v>239144.31</v>
      </c>
      <c r="F12" s="20">
        <v>24</v>
      </c>
      <c r="G12" s="3">
        <v>530729.46000000008</v>
      </c>
      <c r="H12" s="23">
        <v>4</v>
      </c>
      <c r="I12" s="29">
        <v>250866.02000000002</v>
      </c>
      <c r="J12" s="31">
        <f t="shared" si="0"/>
        <v>5065413.42</v>
      </c>
      <c r="K12" s="31">
        <v>181720.48</v>
      </c>
      <c r="L12" s="31">
        <v>4070551.7599999984</v>
      </c>
      <c r="M12" s="21">
        <v>14</v>
      </c>
      <c r="N12" s="31">
        <v>239144.31</v>
      </c>
      <c r="O12" s="21">
        <v>24</v>
      </c>
      <c r="P12" s="31">
        <v>530729.46000000008</v>
      </c>
      <c r="Q12" s="21">
        <v>4</v>
      </c>
      <c r="R12" s="31">
        <v>250866.02000000002</v>
      </c>
      <c r="S12" s="31">
        <f t="shared" si="1"/>
        <v>5091291.5499999989</v>
      </c>
      <c r="T12" s="31">
        <v>181720.48</v>
      </c>
    </row>
    <row r="13" spans="1:20" x14ac:dyDescent="0.2">
      <c r="A13" s="1" t="s">
        <v>50</v>
      </c>
      <c r="B13" s="26">
        <f>53-5</f>
        <v>48</v>
      </c>
      <c r="C13" s="31">
        <f>2004575.04-219422.13</f>
        <v>1785152.9100000001</v>
      </c>
      <c r="D13" s="26">
        <v>11</v>
      </c>
      <c r="E13" s="3">
        <f>188545.64-12559.68</f>
        <v>175985.96000000002</v>
      </c>
      <c r="F13" s="20">
        <v>11</v>
      </c>
      <c r="G13" s="3">
        <v>269153.33</v>
      </c>
      <c r="H13" s="23">
        <v>2</v>
      </c>
      <c r="I13" s="29">
        <v>115899.8</v>
      </c>
      <c r="J13" s="31">
        <f t="shared" si="0"/>
        <v>2346192</v>
      </c>
      <c r="K13" s="31">
        <v>53497.55</v>
      </c>
      <c r="L13" s="31">
        <v>2004575.0399999998</v>
      </c>
      <c r="M13" s="21">
        <v>12</v>
      </c>
      <c r="N13" s="31">
        <v>188545.64000000004</v>
      </c>
      <c r="O13" s="21">
        <v>11</v>
      </c>
      <c r="P13" s="31">
        <v>269153.33</v>
      </c>
      <c r="Q13" s="21">
        <v>2</v>
      </c>
      <c r="R13" s="31">
        <v>115899.8</v>
      </c>
      <c r="S13" s="31">
        <f t="shared" si="1"/>
        <v>2578173.8099999996</v>
      </c>
      <c r="T13" s="31">
        <v>53497.55</v>
      </c>
    </row>
    <row r="14" spans="1:20" x14ac:dyDescent="0.2">
      <c r="A14" s="1" t="s">
        <v>52</v>
      </c>
      <c r="B14" s="26">
        <f>38-3</f>
        <v>35</v>
      </c>
      <c r="C14" s="31">
        <f>1447781.77-89685.38</f>
        <v>1358096.3900000001</v>
      </c>
      <c r="D14" s="26">
        <v>10</v>
      </c>
      <c r="E14" s="3">
        <f>184472.22-15193.92</f>
        <v>169278.3</v>
      </c>
      <c r="F14" s="20">
        <v>11</v>
      </c>
      <c r="G14" s="3">
        <v>271980.89</v>
      </c>
      <c r="H14" s="23">
        <v>2</v>
      </c>
      <c r="I14" s="29">
        <v>133890.34</v>
      </c>
      <c r="J14" s="31">
        <f t="shared" si="0"/>
        <v>1933245.9200000002</v>
      </c>
      <c r="K14" s="31">
        <v>41662.730000000003</v>
      </c>
      <c r="L14" s="31">
        <v>1447781.77</v>
      </c>
      <c r="M14" s="21">
        <v>11</v>
      </c>
      <c r="N14" s="31">
        <v>184472.22000000003</v>
      </c>
      <c r="O14" s="21">
        <v>11</v>
      </c>
      <c r="P14" s="31">
        <v>271980.89</v>
      </c>
      <c r="Q14" s="21">
        <v>2</v>
      </c>
      <c r="R14" s="31">
        <v>133890.34</v>
      </c>
      <c r="S14" s="31">
        <f t="shared" si="1"/>
        <v>2038125.22</v>
      </c>
      <c r="T14" s="31">
        <v>41662.730000000003</v>
      </c>
    </row>
    <row r="15" spans="1:20" x14ac:dyDescent="0.2">
      <c r="A15" s="1" t="s">
        <v>21</v>
      </c>
      <c r="B15" s="26">
        <v>51</v>
      </c>
      <c r="C15" s="31">
        <v>1957476.6599999997</v>
      </c>
      <c r="D15" s="26">
        <v>5</v>
      </c>
      <c r="E15" s="3">
        <v>69645.98</v>
      </c>
      <c r="F15" s="20">
        <v>14</v>
      </c>
      <c r="G15" s="3">
        <v>362342.46</v>
      </c>
      <c r="H15" s="23">
        <v>1</v>
      </c>
      <c r="I15" s="29">
        <v>56416.89</v>
      </c>
      <c r="J15" s="31">
        <f t="shared" si="0"/>
        <v>2445881.9899999998</v>
      </c>
      <c r="K15" s="31">
        <v>61720.07</v>
      </c>
      <c r="L15" s="31">
        <v>1957476.6599999997</v>
      </c>
      <c r="M15" s="21">
        <v>5</v>
      </c>
      <c r="N15" s="31">
        <v>69645.98</v>
      </c>
      <c r="O15" s="21">
        <v>14</v>
      </c>
      <c r="P15" s="31">
        <v>362342.46</v>
      </c>
      <c r="Q15" s="21">
        <v>1</v>
      </c>
      <c r="R15" s="31">
        <v>56416.89</v>
      </c>
      <c r="S15" s="31">
        <f t="shared" si="1"/>
        <v>2445881.9899999998</v>
      </c>
      <c r="T15" s="31">
        <v>61720.07</v>
      </c>
    </row>
    <row r="16" spans="1:20" x14ac:dyDescent="0.2">
      <c r="A16" s="1" t="s">
        <v>26</v>
      </c>
      <c r="B16" s="26">
        <f>40-4</f>
        <v>36</v>
      </c>
      <c r="C16" s="31">
        <f>1631360.62-176636.96</f>
        <v>1454723.6600000001</v>
      </c>
      <c r="D16" s="26">
        <v>7</v>
      </c>
      <c r="E16" s="3">
        <f>139771.52-18502.4</f>
        <v>121269.12</v>
      </c>
      <c r="F16" s="20">
        <v>11</v>
      </c>
      <c r="G16" s="3">
        <v>236643.39</v>
      </c>
      <c r="H16" s="23">
        <v>2</v>
      </c>
      <c r="I16" s="29">
        <v>121195.42</v>
      </c>
      <c r="J16" s="31">
        <f t="shared" si="0"/>
        <v>1933831.5900000003</v>
      </c>
      <c r="K16" s="31">
        <v>41584.339999999997</v>
      </c>
      <c r="L16" s="31">
        <v>1631360.6199999996</v>
      </c>
      <c r="M16" s="21">
        <v>8</v>
      </c>
      <c r="N16" s="31">
        <v>139771.51999999999</v>
      </c>
      <c r="O16" s="21">
        <v>11</v>
      </c>
      <c r="P16" s="31">
        <v>236643.39</v>
      </c>
      <c r="Q16" s="21">
        <v>2</v>
      </c>
      <c r="R16" s="31">
        <v>121195.42</v>
      </c>
      <c r="S16" s="31">
        <f t="shared" si="1"/>
        <v>2128970.9499999997</v>
      </c>
      <c r="T16" s="31">
        <v>41584.339999999997</v>
      </c>
    </row>
    <row r="17" spans="1:20" x14ac:dyDescent="0.2">
      <c r="A17" s="1" t="s">
        <v>59</v>
      </c>
      <c r="B17" s="26">
        <f>58-5</f>
        <v>53</v>
      </c>
      <c r="C17" s="31">
        <f>1799910.36-164445.68</f>
        <v>1635464.6800000002</v>
      </c>
      <c r="D17" s="26">
        <v>13</v>
      </c>
      <c r="E17" s="3">
        <f>289478.42-38643.36</f>
        <v>250835.06</v>
      </c>
      <c r="F17" s="20">
        <v>4</v>
      </c>
      <c r="G17" s="3">
        <v>257867.61000000002</v>
      </c>
      <c r="H17" s="23">
        <v>2</v>
      </c>
      <c r="I17" s="29">
        <v>122849.9</v>
      </c>
      <c r="J17" s="31">
        <f t="shared" si="0"/>
        <v>2267017.25</v>
      </c>
      <c r="K17" s="31">
        <v>48927.519999999997</v>
      </c>
      <c r="L17" s="31">
        <v>1799910.3599999999</v>
      </c>
      <c r="M17" s="21">
        <v>15</v>
      </c>
      <c r="N17" s="31">
        <v>289478.42</v>
      </c>
      <c r="O17" s="21">
        <v>4</v>
      </c>
      <c r="P17" s="31">
        <v>257867.61000000002</v>
      </c>
      <c r="Q17" s="21">
        <v>2</v>
      </c>
      <c r="R17" s="31">
        <v>122849.9</v>
      </c>
      <c r="S17" s="31">
        <f t="shared" si="1"/>
        <v>2470106.2899999996</v>
      </c>
      <c r="T17" s="31">
        <v>48927.519999999997</v>
      </c>
    </row>
    <row r="18" spans="1:20" x14ac:dyDescent="0.2">
      <c r="A18" s="1" t="s">
        <v>29</v>
      </c>
      <c r="B18" s="26">
        <f>55-4</f>
        <v>51</v>
      </c>
      <c r="C18" s="31">
        <f>2112822.01-138681.84</f>
        <v>1974140.1699999997</v>
      </c>
      <c r="D18" s="26">
        <v>21</v>
      </c>
      <c r="E18" s="3">
        <f>356517.74-17318.56</f>
        <v>339199.18</v>
      </c>
      <c r="F18" s="20">
        <v>14</v>
      </c>
      <c r="G18" s="3">
        <v>331079.29000000004</v>
      </c>
      <c r="H18" s="23">
        <v>2</v>
      </c>
      <c r="I18" s="29">
        <v>114472.39</v>
      </c>
      <c r="J18" s="31">
        <f t="shared" si="0"/>
        <v>2758891.03</v>
      </c>
      <c r="K18" s="31">
        <v>47669.45</v>
      </c>
      <c r="L18" s="31">
        <v>2112822.0099999998</v>
      </c>
      <c r="M18" s="21">
        <v>22</v>
      </c>
      <c r="N18" s="31">
        <v>356517.74000000005</v>
      </c>
      <c r="O18" s="21">
        <v>14</v>
      </c>
      <c r="P18" s="31">
        <v>331079.29000000004</v>
      </c>
      <c r="Q18" s="21">
        <v>2</v>
      </c>
      <c r="R18" s="31">
        <v>114472.39</v>
      </c>
      <c r="S18" s="31">
        <f t="shared" si="1"/>
        <v>2914891.43</v>
      </c>
      <c r="T18" s="31">
        <v>47669.45</v>
      </c>
    </row>
    <row r="19" spans="1:20" x14ac:dyDescent="0.2">
      <c r="A19" s="1" t="s">
        <v>35</v>
      </c>
      <c r="B19" s="26">
        <f>82-8</f>
        <v>74</v>
      </c>
      <c r="C19" s="31">
        <f>2886292.06-264810.48</f>
        <v>2621481.58</v>
      </c>
      <c r="D19" s="26">
        <v>22</v>
      </c>
      <c r="E19" s="3">
        <f>500266.47-61148.08</f>
        <v>439118.38999999996</v>
      </c>
      <c r="F19" s="20">
        <v>11</v>
      </c>
      <c r="G19" s="3">
        <v>245257.12999999998</v>
      </c>
      <c r="H19" s="23">
        <v>2</v>
      </c>
      <c r="I19" s="29">
        <v>124725.5</v>
      </c>
      <c r="J19" s="31">
        <f t="shared" si="0"/>
        <v>3430582.6</v>
      </c>
      <c r="K19" s="31">
        <v>65192.46</v>
      </c>
      <c r="L19" s="31">
        <v>2886292.0599999996</v>
      </c>
      <c r="M19" s="21">
        <v>26</v>
      </c>
      <c r="N19" s="31">
        <v>500266.47</v>
      </c>
      <c r="O19" s="21">
        <v>11</v>
      </c>
      <c r="P19" s="31">
        <v>245257.12999999998</v>
      </c>
      <c r="Q19" s="21">
        <v>2</v>
      </c>
      <c r="R19" s="31">
        <v>124725.5</v>
      </c>
      <c r="S19" s="31">
        <f t="shared" si="1"/>
        <v>3756541.1599999992</v>
      </c>
      <c r="T19" s="31">
        <v>65192.46</v>
      </c>
    </row>
    <row r="20" spans="1:20" x14ac:dyDescent="0.2">
      <c r="A20" s="1" t="s">
        <v>46</v>
      </c>
      <c r="B20" s="26">
        <f>71-7</f>
        <v>64</v>
      </c>
      <c r="C20" s="31">
        <f>2359575.75-228048.19</f>
        <v>2131527.56</v>
      </c>
      <c r="D20" s="26">
        <v>18</v>
      </c>
      <c r="E20" s="3">
        <f>311362.12-32292.96</f>
        <v>279069.15999999997</v>
      </c>
      <c r="F20" s="20">
        <v>13</v>
      </c>
      <c r="G20" s="3">
        <v>273342.89</v>
      </c>
      <c r="H20" s="23">
        <v>3</v>
      </c>
      <c r="I20" s="29">
        <v>188828.76</v>
      </c>
      <c r="J20" s="31">
        <f t="shared" si="0"/>
        <v>2872768.37</v>
      </c>
      <c r="K20" s="31">
        <v>65167.43</v>
      </c>
      <c r="L20" s="31">
        <v>2359575.7499999991</v>
      </c>
      <c r="M20" s="21">
        <v>20</v>
      </c>
      <c r="N20" s="31">
        <v>311362.12</v>
      </c>
      <c r="O20" s="21">
        <v>13</v>
      </c>
      <c r="P20" s="31">
        <v>273342.89</v>
      </c>
      <c r="Q20" s="21">
        <v>3</v>
      </c>
      <c r="R20" s="31">
        <v>188828.76</v>
      </c>
      <c r="S20" s="31">
        <f t="shared" si="1"/>
        <v>3133109.5199999996</v>
      </c>
      <c r="T20" s="31">
        <v>65167.43</v>
      </c>
    </row>
    <row r="21" spans="1:20" x14ac:dyDescent="0.2">
      <c r="A21" s="1" t="s">
        <v>39</v>
      </c>
      <c r="B21" s="26">
        <v>51</v>
      </c>
      <c r="C21" s="31">
        <v>1896187.37</v>
      </c>
      <c r="D21" s="26">
        <v>7</v>
      </c>
      <c r="E21" s="3">
        <v>111086.25000000001</v>
      </c>
      <c r="F21" s="20">
        <v>13</v>
      </c>
      <c r="G21" s="3">
        <v>323909.5</v>
      </c>
      <c r="H21" s="23">
        <v>2</v>
      </c>
      <c r="I21" s="29">
        <v>129617.04999999999</v>
      </c>
      <c r="J21" s="31">
        <f t="shared" si="0"/>
        <v>2460800.17</v>
      </c>
      <c r="K21" s="31">
        <v>71068.570000000007</v>
      </c>
      <c r="L21" s="31">
        <v>1896187.3700000003</v>
      </c>
      <c r="M21" s="21">
        <v>7</v>
      </c>
      <c r="N21" s="31">
        <v>111086.25000000001</v>
      </c>
      <c r="O21" s="21">
        <v>13</v>
      </c>
      <c r="P21" s="31">
        <v>323909.5</v>
      </c>
      <c r="Q21" s="21">
        <v>2</v>
      </c>
      <c r="R21" s="31">
        <v>129617.04999999999</v>
      </c>
      <c r="S21" s="31">
        <f t="shared" si="1"/>
        <v>2460800.17</v>
      </c>
      <c r="T21" s="31">
        <v>71068.570000000007</v>
      </c>
    </row>
    <row r="22" spans="1:20" x14ac:dyDescent="0.2">
      <c r="A22" s="1" t="s">
        <v>3</v>
      </c>
      <c r="B22" s="26">
        <f>66-8</f>
        <v>58</v>
      </c>
      <c r="C22" s="31">
        <f>2527395.6-324315.34</f>
        <v>2203080.2600000002</v>
      </c>
      <c r="D22" s="26">
        <v>13</v>
      </c>
      <c r="E22" s="3">
        <f>283676.96-81767.28</f>
        <v>201909.68000000002</v>
      </c>
      <c r="F22" s="20">
        <v>14</v>
      </c>
      <c r="G22" s="3">
        <v>315065.23</v>
      </c>
      <c r="H22" s="23">
        <v>3</v>
      </c>
      <c r="I22" s="29">
        <v>199869.2</v>
      </c>
      <c r="J22" s="31">
        <f t="shared" si="0"/>
        <v>2919924.3700000006</v>
      </c>
      <c r="K22" s="31">
        <v>64171.45</v>
      </c>
      <c r="L22" s="31">
        <v>2527395.6</v>
      </c>
      <c r="M22" s="21">
        <v>19</v>
      </c>
      <c r="N22" s="31">
        <v>283676.95999999996</v>
      </c>
      <c r="O22" s="21">
        <v>14</v>
      </c>
      <c r="P22" s="31">
        <v>315065.23</v>
      </c>
      <c r="Q22" s="21">
        <v>3</v>
      </c>
      <c r="R22" s="31">
        <v>199869.2</v>
      </c>
      <c r="S22" s="31">
        <f t="shared" si="1"/>
        <v>3326006.99</v>
      </c>
      <c r="T22" s="31">
        <v>64171.45</v>
      </c>
    </row>
    <row r="23" spans="1:20" x14ac:dyDescent="0.2">
      <c r="A23" s="1" t="s">
        <v>36</v>
      </c>
      <c r="B23" s="26">
        <v>64</v>
      </c>
      <c r="C23" s="31">
        <v>2311484.919999999</v>
      </c>
      <c r="D23" s="26">
        <v>12</v>
      </c>
      <c r="E23" s="3">
        <v>199896.19999999998</v>
      </c>
      <c r="F23" s="20">
        <v>15</v>
      </c>
      <c r="G23" s="3">
        <v>385172.34</v>
      </c>
      <c r="H23" s="23">
        <v>2</v>
      </c>
      <c r="I23" s="29">
        <v>136491.29999999999</v>
      </c>
      <c r="J23" s="31">
        <f t="shared" si="0"/>
        <v>3033044.7599999988</v>
      </c>
      <c r="K23" s="31">
        <v>69819.58</v>
      </c>
      <c r="L23" s="31">
        <v>2311484.919999999</v>
      </c>
      <c r="M23" s="21">
        <v>12</v>
      </c>
      <c r="N23" s="31">
        <v>199896.19999999998</v>
      </c>
      <c r="O23" s="21">
        <v>15</v>
      </c>
      <c r="P23" s="31">
        <v>385172.34</v>
      </c>
      <c r="Q23" s="21">
        <v>2</v>
      </c>
      <c r="R23" s="31">
        <v>136491.29999999999</v>
      </c>
      <c r="S23" s="31">
        <f t="shared" si="1"/>
        <v>3033044.7599999988</v>
      </c>
      <c r="T23" s="31">
        <v>69819.58</v>
      </c>
    </row>
    <row r="24" spans="1:20" x14ac:dyDescent="0.2">
      <c r="A24" s="1" t="s">
        <v>7</v>
      </c>
      <c r="B24" s="26">
        <v>63</v>
      </c>
      <c r="C24" s="31">
        <v>2358221.7399999993</v>
      </c>
      <c r="D24" s="26">
        <v>10</v>
      </c>
      <c r="E24" s="3">
        <f>151189.09-59764.32</f>
        <v>91424.76999999999</v>
      </c>
      <c r="F24" s="20">
        <v>15</v>
      </c>
      <c r="G24" s="3">
        <v>365449.8</v>
      </c>
      <c r="H24" s="23">
        <v>2</v>
      </c>
      <c r="I24" s="29">
        <v>119110.09</v>
      </c>
      <c r="J24" s="31">
        <f t="shared" si="0"/>
        <v>2934206.399999999</v>
      </c>
      <c r="K24" s="31">
        <v>85957.68</v>
      </c>
      <c r="L24" s="31">
        <v>2358221.7399999993</v>
      </c>
      <c r="M24" s="21">
        <v>10</v>
      </c>
      <c r="N24" s="31">
        <v>151189.09000000003</v>
      </c>
      <c r="O24" s="21">
        <v>15</v>
      </c>
      <c r="P24" s="31">
        <v>365449.8</v>
      </c>
      <c r="Q24" s="21">
        <v>2</v>
      </c>
      <c r="R24" s="31">
        <v>119110.09</v>
      </c>
      <c r="S24" s="31">
        <f t="shared" si="1"/>
        <v>2993970.7199999988</v>
      </c>
      <c r="T24" s="31">
        <v>85957.68</v>
      </c>
    </row>
    <row r="25" spans="1:20" x14ac:dyDescent="0.2">
      <c r="A25" s="1" t="s">
        <v>71</v>
      </c>
      <c r="B25" s="26">
        <v>46</v>
      </c>
      <c r="C25" s="31">
        <v>1828692.5999999992</v>
      </c>
      <c r="D25" s="26">
        <v>7</v>
      </c>
      <c r="E25" s="3">
        <v>96973.91</v>
      </c>
      <c r="F25" s="20">
        <v>14</v>
      </c>
      <c r="G25" s="3">
        <v>340021.93000000005</v>
      </c>
      <c r="H25" s="23">
        <v>2</v>
      </c>
      <c r="I25" s="29">
        <v>138255.84</v>
      </c>
      <c r="J25" s="31">
        <f t="shared" si="0"/>
        <v>2403944.2799999989</v>
      </c>
      <c r="K25" s="31">
        <v>66251.8</v>
      </c>
      <c r="L25" s="31">
        <v>1828692.5999999992</v>
      </c>
      <c r="M25" s="21">
        <v>7</v>
      </c>
      <c r="N25" s="31">
        <v>96973.91</v>
      </c>
      <c r="O25" s="21">
        <v>14</v>
      </c>
      <c r="P25" s="31">
        <v>340021.93000000005</v>
      </c>
      <c r="Q25" s="21">
        <v>2</v>
      </c>
      <c r="R25" s="31">
        <v>138255.84</v>
      </c>
      <c r="S25" s="31">
        <f t="shared" si="1"/>
        <v>2403944.2799999989</v>
      </c>
      <c r="T25" s="31">
        <v>66251.8</v>
      </c>
    </row>
    <row r="26" spans="1:20" x14ac:dyDescent="0.2">
      <c r="A26" s="1" t="s">
        <v>43</v>
      </c>
      <c r="B26" s="26">
        <f>55-5</f>
        <v>50</v>
      </c>
      <c r="C26" s="31">
        <f>1930467.01-170984.92</f>
        <v>1759482.09</v>
      </c>
      <c r="D26" s="26">
        <v>12</v>
      </c>
      <c r="E26" s="3">
        <f>219959.04-26087.6</f>
        <v>193871.44</v>
      </c>
      <c r="F26" s="20">
        <v>13</v>
      </c>
      <c r="G26" s="3">
        <v>316186.28999999998</v>
      </c>
      <c r="H26" s="23">
        <v>3</v>
      </c>
      <c r="I26" s="29">
        <v>170383.57</v>
      </c>
      <c r="J26" s="31">
        <f t="shared" si="0"/>
        <v>2439923.3899999997</v>
      </c>
      <c r="K26" s="31">
        <v>57087.79</v>
      </c>
      <c r="L26" s="31">
        <v>1930467.0099999998</v>
      </c>
      <c r="M26" s="21">
        <v>14</v>
      </c>
      <c r="N26" s="31">
        <v>219959.04000000004</v>
      </c>
      <c r="O26" s="21">
        <v>13</v>
      </c>
      <c r="P26" s="31">
        <v>316186.28999999998</v>
      </c>
      <c r="Q26" s="21">
        <v>3</v>
      </c>
      <c r="R26" s="31">
        <v>170383.57</v>
      </c>
      <c r="S26" s="31">
        <f t="shared" si="1"/>
        <v>2636995.9099999997</v>
      </c>
      <c r="T26" s="31">
        <v>57087.79</v>
      </c>
    </row>
    <row r="27" spans="1:20" x14ac:dyDescent="0.2">
      <c r="A27" s="1" t="s">
        <v>53</v>
      </c>
      <c r="B27" s="26">
        <f>55-5</f>
        <v>50</v>
      </c>
      <c r="C27" s="31">
        <f>2027506.47-188093.92</f>
        <v>1839412.55</v>
      </c>
      <c r="D27" s="26">
        <v>17</v>
      </c>
      <c r="E27" s="3">
        <f>296272.1-13634.6</f>
        <v>282637.5</v>
      </c>
      <c r="F27" s="20">
        <v>13</v>
      </c>
      <c r="G27" s="3">
        <v>267733.02</v>
      </c>
      <c r="H27" s="23">
        <v>2</v>
      </c>
      <c r="I27" s="29">
        <v>122175.11</v>
      </c>
      <c r="J27" s="31">
        <f t="shared" si="0"/>
        <v>2511958.1799999997</v>
      </c>
      <c r="K27" s="31">
        <v>63970.38</v>
      </c>
      <c r="L27" s="31">
        <v>2027506.4699999997</v>
      </c>
      <c r="M27" s="21">
        <v>19</v>
      </c>
      <c r="N27" s="31">
        <v>296272.09999999998</v>
      </c>
      <c r="O27" s="21">
        <v>13</v>
      </c>
      <c r="P27" s="31">
        <v>267733.02</v>
      </c>
      <c r="Q27" s="21">
        <v>2</v>
      </c>
      <c r="R27" s="31">
        <v>122175.11</v>
      </c>
      <c r="S27" s="31">
        <f t="shared" si="1"/>
        <v>2713686.6999999997</v>
      </c>
      <c r="T27" s="31">
        <v>63970.38</v>
      </c>
    </row>
    <row r="28" spans="1:20" x14ac:dyDescent="0.2">
      <c r="A28" s="1" t="s">
        <v>10</v>
      </c>
      <c r="B28" s="26">
        <v>96</v>
      </c>
      <c r="C28" s="31">
        <f>3423527.63-65098.58</f>
        <v>3358429.05</v>
      </c>
      <c r="D28" s="26">
        <v>14</v>
      </c>
      <c r="E28" s="36">
        <f>223176.78-12818.4</f>
        <v>210358.38</v>
      </c>
      <c r="F28" s="20">
        <v>25</v>
      </c>
      <c r="G28" s="3">
        <v>568308.38</v>
      </c>
      <c r="H28" s="23">
        <v>5</v>
      </c>
      <c r="I28" s="29">
        <v>322354.68</v>
      </c>
      <c r="J28" s="31">
        <f t="shared" si="0"/>
        <v>4459450.4899999993</v>
      </c>
      <c r="K28" s="31">
        <v>164908.79999999999</v>
      </c>
      <c r="L28" s="31">
        <v>3423527.629999998</v>
      </c>
      <c r="M28" s="21">
        <v>14</v>
      </c>
      <c r="N28" s="31">
        <v>223176.78</v>
      </c>
      <c r="O28" s="21">
        <v>25</v>
      </c>
      <c r="P28" s="31">
        <v>568308.38</v>
      </c>
      <c r="Q28" s="21">
        <v>5</v>
      </c>
      <c r="R28" s="31">
        <v>322354.68</v>
      </c>
      <c r="S28" s="31">
        <f t="shared" si="1"/>
        <v>4537367.4699999979</v>
      </c>
      <c r="T28" s="31">
        <v>164908.79999999999</v>
      </c>
    </row>
    <row r="29" spans="1:20" x14ac:dyDescent="0.2">
      <c r="A29" s="1" t="s">
        <v>56</v>
      </c>
      <c r="B29" s="26">
        <v>44</v>
      </c>
      <c r="C29" s="31">
        <v>1870481.1600000004</v>
      </c>
      <c r="D29" s="26">
        <v>6</v>
      </c>
      <c r="E29" s="3">
        <v>98460.170000000013</v>
      </c>
      <c r="F29" s="20">
        <v>13</v>
      </c>
      <c r="G29" s="3">
        <v>313751.60000000003</v>
      </c>
      <c r="H29" s="23">
        <v>2</v>
      </c>
      <c r="I29" s="29">
        <v>132589.85999999999</v>
      </c>
      <c r="J29" s="31">
        <f t="shared" si="0"/>
        <v>2415282.79</v>
      </c>
      <c r="K29" s="31">
        <v>62959.59</v>
      </c>
      <c r="L29" s="31">
        <v>1870481.1600000004</v>
      </c>
      <c r="M29" s="21">
        <v>6</v>
      </c>
      <c r="N29" s="31">
        <v>98460.170000000013</v>
      </c>
      <c r="O29" s="21">
        <v>13</v>
      </c>
      <c r="P29" s="31">
        <v>313751.60000000003</v>
      </c>
      <c r="Q29" s="21">
        <v>2</v>
      </c>
      <c r="R29" s="31">
        <v>132589.85999999999</v>
      </c>
      <c r="S29" s="31">
        <f t="shared" si="1"/>
        <v>2415282.79</v>
      </c>
      <c r="T29" s="31">
        <v>62959.59</v>
      </c>
    </row>
    <row r="30" spans="1:20" x14ac:dyDescent="0.2">
      <c r="A30" s="1" t="s">
        <v>37</v>
      </c>
      <c r="B30" s="26">
        <f>58-6</f>
        <v>52</v>
      </c>
      <c r="C30" s="31">
        <f>2099445.41-183719.76</f>
        <v>1915725.6500000001</v>
      </c>
      <c r="D30" s="26">
        <v>20</v>
      </c>
      <c r="E30" s="3">
        <f>365742.68-41512.8</f>
        <v>324229.88</v>
      </c>
      <c r="F30" s="20">
        <v>13</v>
      </c>
      <c r="G30" s="3">
        <v>288636.73</v>
      </c>
      <c r="H30" s="23">
        <v>2</v>
      </c>
      <c r="I30" s="29">
        <v>108197.08</v>
      </c>
      <c r="J30" s="31">
        <f t="shared" si="0"/>
        <v>2636789.3400000003</v>
      </c>
      <c r="K30" s="31">
        <v>57448.72</v>
      </c>
      <c r="L30" s="31">
        <v>2099445.4099999988</v>
      </c>
      <c r="M30" s="21">
        <v>23</v>
      </c>
      <c r="N30" s="31">
        <v>365742.67999999993</v>
      </c>
      <c r="O30" s="21">
        <v>13</v>
      </c>
      <c r="P30" s="31">
        <v>288636.73</v>
      </c>
      <c r="Q30" s="21">
        <v>2</v>
      </c>
      <c r="R30" s="31">
        <v>108197.08</v>
      </c>
      <c r="S30" s="31">
        <f t="shared" si="1"/>
        <v>2862021.899999999</v>
      </c>
      <c r="T30" s="31">
        <v>57448.72</v>
      </c>
    </row>
    <row r="31" spans="1:20" x14ac:dyDescent="0.2">
      <c r="A31" s="1" t="s">
        <v>12</v>
      </c>
      <c r="B31" s="26">
        <f>48-4</f>
        <v>44</v>
      </c>
      <c r="C31" s="31">
        <f>1851316.63-161224.38</f>
        <v>1690092.25</v>
      </c>
      <c r="D31" s="26">
        <v>15</v>
      </c>
      <c r="E31" s="3">
        <f>280260.81-30442.72</f>
        <v>249818.09</v>
      </c>
      <c r="F31" s="20">
        <v>9</v>
      </c>
      <c r="G31" s="3">
        <v>252320.35</v>
      </c>
      <c r="H31" s="23">
        <v>2</v>
      </c>
      <c r="I31" s="29">
        <v>133729.20000000001</v>
      </c>
      <c r="J31" s="31">
        <f t="shared" si="0"/>
        <v>2325959.89</v>
      </c>
      <c r="K31" s="31">
        <v>46737.72</v>
      </c>
      <c r="L31" s="31">
        <v>1851316.629999999</v>
      </c>
      <c r="M31" s="21">
        <v>17</v>
      </c>
      <c r="N31" s="31">
        <v>280260.80999999994</v>
      </c>
      <c r="O31" s="21">
        <v>9</v>
      </c>
      <c r="P31" s="31">
        <v>252320.35</v>
      </c>
      <c r="Q31" s="21">
        <v>2</v>
      </c>
      <c r="R31" s="31">
        <v>133729.20000000001</v>
      </c>
      <c r="S31" s="31">
        <f t="shared" si="1"/>
        <v>2517626.9899999993</v>
      </c>
      <c r="T31" s="31">
        <v>46737.72</v>
      </c>
    </row>
    <row r="32" spans="1:20" x14ac:dyDescent="0.2">
      <c r="A32" s="1" t="s">
        <v>24</v>
      </c>
      <c r="B32" s="26">
        <f>48-4</f>
        <v>44</v>
      </c>
      <c r="C32" s="31">
        <f>1845589.46-142592.13</f>
        <v>1702997.33</v>
      </c>
      <c r="D32" s="26">
        <v>12</v>
      </c>
      <c r="E32" s="3">
        <f>192605.2-26675.6</f>
        <v>165929.60000000001</v>
      </c>
      <c r="F32" s="20">
        <v>3</v>
      </c>
      <c r="G32" s="3">
        <v>85308.35</v>
      </c>
      <c r="H32" s="23">
        <v>2</v>
      </c>
      <c r="I32" s="29">
        <v>134404.47999999998</v>
      </c>
      <c r="J32" s="31">
        <f t="shared" si="0"/>
        <v>2088639.7600000002</v>
      </c>
      <c r="K32" s="31">
        <v>44051.08</v>
      </c>
      <c r="L32" s="31">
        <v>1845589.4599999997</v>
      </c>
      <c r="M32" s="21">
        <v>14</v>
      </c>
      <c r="N32" s="31">
        <v>192605.2</v>
      </c>
      <c r="O32" s="21">
        <v>3</v>
      </c>
      <c r="P32" s="31">
        <v>85308.35</v>
      </c>
      <c r="Q32" s="21">
        <v>2</v>
      </c>
      <c r="R32" s="31">
        <v>134404.47999999998</v>
      </c>
      <c r="S32" s="31">
        <f t="shared" si="1"/>
        <v>2257907.4899999998</v>
      </c>
      <c r="T32" s="31">
        <v>44051.08</v>
      </c>
    </row>
    <row r="33" spans="1:20" x14ac:dyDescent="0.2">
      <c r="A33" s="1" t="s">
        <v>6</v>
      </c>
      <c r="B33" s="26">
        <v>115</v>
      </c>
      <c r="C33" s="31">
        <f>4073464.9-139168.25</f>
        <v>3934296.65</v>
      </c>
      <c r="D33" s="26">
        <v>20</v>
      </c>
      <c r="E33" s="3">
        <f>374816.62-18502.4-15193.92</f>
        <v>341120.3</v>
      </c>
      <c r="F33" s="20">
        <v>26</v>
      </c>
      <c r="G33" s="3">
        <v>599632.14999999991</v>
      </c>
      <c r="H33" s="23">
        <v>6</v>
      </c>
      <c r="I33" s="29">
        <v>337953.98</v>
      </c>
      <c r="J33" s="31">
        <f t="shared" si="0"/>
        <v>5213003.08</v>
      </c>
      <c r="K33" s="31">
        <v>177365.93</v>
      </c>
      <c r="L33" s="31">
        <v>4073464.899999999</v>
      </c>
      <c r="M33" s="21">
        <v>20</v>
      </c>
      <c r="N33" s="31">
        <v>374816.62</v>
      </c>
      <c r="O33" s="21">
        <v>26</v>
      </c>
      <c r="P33" s="31">
        <v>599632.14999999991</v>
      </c>
      <c r="Q33" s="21">
        <v>6</v>
      </c>
      <c r="R33" s="31">
        <v>337953.98</v>
      </c>
      <c r="S33" s="31">
        <f t="shared" si="1"/>
        <v>5385867.6499999985</v>
      </c>
      <c r="T33" s="31">
        <v>177365.93</v>
      </c>
    </row>
    <row r="34" spans="1:20" x14ac:dyDescent="0.2">
      <c r="A34" s="1" t="s">
        <v>5</v>
      </c>
      <c r="B34" s="26">
        <v>48</v>
      </c>
      <c r="C34" s="31">
        <v>1782507.6300000001</v>
      </c>
      <c r="D34" s="26">
        <v>4</v>
      </c>
      <c r="E34" s="3">
        <v>58227.68</v>
      </c>
      <c r="F34" s="20">
        <v>20</v>
      </c>
      <c r="G34" s="3">
        <v>467787.76000000007</v>
      </c>
      <c r="H34" s="23">
        <v>2</v>
      </c>
      <c r="I34" s="29">
        <v>136330.16</v>
      </c>
      <c r="J34" s="31">
        <f t="shared" si="0"/>
        <v>2444853.2300000004</v>
      </c>
      <c r="K34" s="31">
        <v>77678.009999999995</v>
      </c>
      <c r="L34" s="31">
        <v>1782507.6300000001</v>
      </c>
      <c r="M34" s="21">
        <v>4</v>
      </c>
      <c r="N34" s="31">
        <v>58227.68</v>
      </c>
      <c r="O34" s="21">
        <v>20</v>
      </c>
      <c r="P34" s="31">
        <v>467787.76000000007</v>
      </c>
      <c r="Q34" s="21">
        <v>2</v>
      </c>
      <c r="R34" s="31">
        <v>136330.16</v>
      </c>
      <c r="S34" s="31">
        <f t="shared" si="1"/>
        <v>2444853.2300000004</v>
      </c>
      <c r="T34" s="31">
        <v>77678.009999999995</v>
      </c>
    </row>
    <row r="35" spans="1:20" x14ac:dyDescent="0.2">
      <c r="A35" s="1" t="s">
        <v>67</v>
      </c>
      <c r="B35" s="26">
        <v>49</v>
      </c>
      <c r="C35" s="31">
        <f>1758574.91-30567.88</f>
        <v>1728007.03</v>
      </c>
      <c r="D35" s="26">
        <v>11</v>
      </c>
      <c r="E35" s="3">
        <f>176496.73-18094.72</f>
        <v>158402.01</v>
      </c>
      <c r="F35" s="20">
        <v>13</v>
      </c>
      <c r="G35" s="3">
        <v>263004.79999999999</v>
      </c>
      <c r="H35" s="23">
        <v>3</v>
      </c>
      <c r="I35" s="29">
        <v>172724.74</v>
      </c>
      <c r="J35" s="31">
        <f t="shared" si="0"/>
        <v>2322138.58</v>
      </c>
      <c r="K35" s="31">
        <v>74525.240000000005</v>
      </c>
      <c r="L35" s="31">
        <v>1758574.9099999997</v>
      </c>
      <c r="M35" s="21">
        <v>11</v>
      </c>
      <c r="N35" s="31">
        <v>176496.73</v>
      </c>
      <c r="O35" s="21">
        <v>13</v>
      </c>
      <c r="P35" s="31">
        <v>263004.79999999999</v>
      </c>
      <c r="Q35" s="21">
        <v>3</v>
      </c>
      <c r="R35" s="31">
        <v>172724.74</v>
      </c>
      <c r="S35" s="31">
        <f t="shared" si="1"/>
        <v>2370801.1799999997</v>
      </c>
      <c r="T35" s="31">
        <v>74525.240000000005</v>
      </c>
    </row>
    <row r="36" spans="1:20" x14ac:dyDescent="0.2">
      <c r="A36" s="1" t="s">
        <v>4</v>
      </c>
      <c r="B36" s="26">
        <f>66-7</f>
        <v>59</v>
      </c>
      <c r="C36" s="31">
        <f>2549164.9-239894.88</f>
        <v>2309270.02</v>
      </c>
      <c r="D36" s="26">
        <v>21</v>
      </c>
      <c r="E36" s="3">
        <f>361985.25-23488.64</f>
        <v>338496.61</v>
      </c>
      <c r="F36" s="20">
        <v>11</v>
      </c>
      <c r="G36" s="3">
        <v>253257.97999999998</v>
      </c>
      <c r="H36" s="23">
        <v>2</v>
      </c>
      <c r="I36" s="29">
        <v>134404.47999999998</v>
      </c>
      <c r="J36" s="31">
        <f t="shared" si="0"/>
        <v>3035429.09</v>
      </c>
      <c r="K36" s="31">
        <v>62507.97</v>
      </c>
      <c r="L36" s="31">
        <v>2549164.8999999994</v>
      </c>
      <c r="M36" s="21">
        <v>23</v>
      </c>
      <c r="N36" s="31">
        <v>361985.25</v>
      </c>
      <c r="O36" s="21">
        <v>11</v>
      </c>
      <c r="P36" s="31">
        <v>253257.97999999998</v>
      </c>
      <c r="Q36" s="21">
        <v>2</v>
      </c>
      <c r="R36" s="31">
        <v>134404.47999999998</v>
      </c>
      <c r="S36" s="31">
        <f t="shared" si="1"/>
        <v>3298812.6099999994</v>
      </c>
      <c r="T36" s="31">
        <v>62507.97</v>
      </c>
    </row>
    <row r="37" spans="1:20" x14ac:dyDescent="0.2">
      <c r="A37" s="1" t="s">
        <v>41</v>
      </c>
      <c r="B37" s="26">
        <v>54</v>
      </c>
      <c r="C37" s="31">
        <v>1962245.3699999999</v>
      </c>
      <c r="D37" s="26">
        <v>23</v>
      </c>
      <c r="E37" s="3">
        <v>408629.16000000003</v>
      </c>
      <c r="F37" s="20">
        <v>12</v>
      </c>
      <c r="G37" s="3">
        <v>281486.3</v>
      </c>
      <c r="H37" s="23">
        <v>4</v>
      </c>
      <c r="I37" s="29">
        <v>219834.99</v>
      </c>
      <c r="J37" s="31">
        <f t="shared" si="0"/>
        <v>2872195.8199999994</v>
      </c>
      <c r="K37" s="31">
        <v>157432.64000000001</v>
      </c>
      <c r="L37" s="31">
        <v>1962245.3699999999</v>
      </c>
      <c r="M37" s="21">
        <v>23</v>
      </c>
      <c r="N37" s="31">
        <v>408629.16000000003</v>
      </c>
      <c r="O37" s="21">
        <v>12</v>
      </c>
      <c r="P37" s="31">
        <v>281486.3</v>
      </c>
      <c r="Q37" s="21">
        <v>4</v>
      </c>
      <c r="R37" s="31">
        <v>219834.99</v>
      </c>
      <c r="S37" s="31">
        <f t="shared" si="1"/>
        <v>2872195.8199999994</v>
      </c>
      <c r="T37" s="31">
        <v>157432.64000000001</v>
      </c>
    </row>
    <row r="38" spans="1:20" x14ac:dyDescent="0.2">
      <c r="A38" s="1" t="s">
        <v>22</v>
      </c>
      <c r="B38" s="26">
        <v>133</v>
      </c>
      <c r="C38" s="31">
        <v>4777021.8699999982</v>
      </c>
      <c r="D38" s="26">
        <v>17</v>
      </c>
      <c r="E38" s="3">
        <v>272412.98000000004</v>
      </c>
      <c r="F38" s="20">
        <v>33</v>
      </c>
      <c r="G38" s="3">
        <v>650366.02000000014</v>
      </c>
      <c r="H38" s="23">
        <v>7</v>
      </c>
      <c r="I38" s="29">
        <v>414406.09</v>
      </c>
      <c r="J38" s="31">
        <f t="shared" si="0"/>
        <v>6114206.959999999</v>
      </c>
      <c r="K38" s="31">
        <v>213628.86</v>
      </c>
      <c r="L38" s="31">
        <v>4777021.8699999982</v>
      </c>
      <c r="M38" s="21">
        <v>17</v>
      </c>
      <c r="N38" s="31">
        <v>272412.98000000004</v>
      </c>
      <c r="O38" s="21">
        <v>33</v>
      </c>
      <c r="P38" s="31">
        <v>650366.02000000014</v>
      </c>
      <c r="Q38" s="21">
        <v>7</v>
      </c>
      <c r="R38" s="31">
        <v>414406.09</v>
      </c>
      <c r="S38" s="31">
        <f t="shared" si="1"/>
        <v>6114206.959999999</v>
      </c>
      <c r="T38" s="31">
        <v>213628.86</v>
      </c>
    </row>
    <row r="39" spans="1:20" x14ac:dyDescent="0.2">
      <c r="A39" s="1" t="s">
        <v>60</v>
      </c>
      <c r="B39" s="26">
        <f>59-5</f>
        <v>54</v>
      </c>
      <c r="C39" s="31">
        <f>2275456.21-180098.1</f>
        <v>2095358.1099999999</v>
      </c>
      <c r="D39" s="26">
        <v>21</v>
      </c>
      <c r="E39" s="3">
        <f>400210.7-35805.28</f>
        <v>364405.42000000004</v>
      </c>
      <c r="F39" s="20">
        <v>13</v>
      </c>
      <c r="G39" s="3">
        <v>314063.03999999998</v>
      </c>
      <c r="H39" s="23">
        <v>2</v>
      </c>
      <c r="I39" s="29">
        <v>142157.28</v>
      </c>
      <c r="J39" s="31">
        <f t="shared" si="0"/>
        <v>2915983.8499999996</v>
      </c>
      <c r="K39" s="31">
        <v>65024.19</v>
      </c>
      <c r="L39" s="31">
        <v>2275456.209999999</v>
      </c>
      <c r="M39" s="21">
        <v>23</v>
      </c>
      <c r="N39" s="31">
        <v>400210.69999999995</v>
      </c>
      <c r="O39" s="21">
        <v>13</v>
      </c>
      <c r="P39" s="31">
        <v>314063.03999999998</v>
      </c>
      <c r="Q39" s="21">
        <v>2</v>
      </c>
      <c r="R39" s="31">
        <v>142157.28</v>
      </c>
      <c r="S39" s="31">
        <f t="shared" si="1"/>
        <v>3131887.2299999991</v>
      </c>
      <c r="T39" s="31">
        <v>65024.19</v>
      </c>
    </row>
    <row r="40" spans="1:20" x14ac:dyDescent="0.2">
      <c r="A40" s="1" t="s">
        <v>45</v>
      </c>
      <c r="B40" s="26">
        <f>39-3</f>
        <v>36</v>
      </c>
      <c r="C40" s="31">
        <f>1354466.96-99346.55</f>
        <v>1255120.4099999999</v>
      </c>
      <c r="D40" s="26">
        <v>15</v>
      </c>
      <c r="E40" s="3">
        <f>251743.72-18094.72</f>
        <v>233649</v>
      </c>
      <c r="F40" s="20">
        <v>7</v>
      </c>
      <c r="G40" s="3">
        <v>199924.66</v>
      </c>
      <c r="H40" s="23">
        <v>2</v>
      </c>
      <c r="I40" s="29">
        <v>136330.16</v>
      </c>
      <c r="J40" s="31">
        <f t="shared" si="0"/>
        <v>1825024.2299999997</v>
      </c>
      <c r="K40" s="31">
        <v>39759.39</v>
      </c>
      <c r="L40" s="31">
        <v>1354466.9600000002</v>
      </c>
      <c r="M40" s="21">
        <v>16</v>
      </c>
      <c r="N40" s="31">
        <v>251743.72</v>
      </c>
      <c r="O40" s="21">
        <v>7</v>
      </c>
      <c r="P40" s="31">
        <v>199924.66</v>
      </c>
      <c r="Q40" s="21">
        <v>2</v>
      </c>
      <c r="R40" s="31">
        <v>136330.16</v>
      </c>
      <c r="S40" s="31">
        <f t="shared" si="1"/>
        <v>1942465.5</v>
      </c>
      <c r="T40" s="31">
        <v>39759.39</v>
      </c>
    </row>
    <row r="41" spans="1:20" x14ac:dyDescent="0.2">
      <c r="A41" s="1" t="s">
        <v>17</v>
      </c>
      <c r="B41" s="26">
        <v>54</v>
      </c>
      <c r="C41" s="31">
        <v>1927719.2699999996</v>
      </c>
      <c r="D41" s="26">
        <v>12</v>
      </c>
      <c r="E41" s="3">
        <v>189468.83000000002</v>
      </c>
      <c r="F41" s="20">
        <v>16</v>
      </c>
      <c r="G41" s="3">
        <v>415444.91000000003</v>
      </c>
      <c r="H41" s="23">
        <v>4</v>
      </c>
      <c r="I41" s="29">
        <v>240916.83</v>
      </c>
      <c r="J41" s="31">
        <f t="shared" si="0"/>
        <v>2773549.84</v>
      </c>
      <c r="K41" s="31">
        <v>51334.9</v>
      </c>
      <c r="L41" s="31">
        <v>1927719.2699999996</v>
      </c>
      <c r="M41" s="21">
        <v>12</v>
      </c>
      <c r="N41" s="31">
        <v>189468.83000000002</v>
      </c>
      <c r="O41" s="21">
        <v>16</v>
      </c>
      <c r="P41" s="31">
        <v>415444.91000000003</v>
      </c>
      <c r="Q41" s="21">
        <v>4</v>
      </c>
      <c r="R41" s="31">
        <v>240916.83</v>
      </c>
      <c r="S41" s="31">
        <f t="shared" si="1"/>
        <v>2773549.84</v>
      </c>
      <c r="T41" s="31">
        <v>51334.9</v>
      </c>
    </row>
    <row r="42" spans="1:20" x14ac:dyDescent="0.2">
      <c r="A42" s="1" t="s">
        <v>63</v>
      </c>
      <c r="B42" s="26">
        <f>67-6</f>
        <v>61</v>
      </c>
      <c r="C42" s="31">
        <f>2155137.77-191358.93</f>
        <v>1963778.84</v>
      </c>
      <c r="D42" s="26">
        <v>20</v>
      </c>
      <c r="E42" s="3">
        <f>341932.81-34997.76</f>
        <v>306935.05</v>
      </c>
      <c r="F42" s="20">
        <v>13</v>
      </c>
      <c r="G42" s="3">
        <v>324567.07999999996</v>
      </c>
      <c r="H42" s="23">
        <v>2</v>
      </c>
      <c r="I42" s="29">
        <v>120924.22</v>
      </c>
      <c r="J42" s="31">
        <f t="shared" si="0"/>
        <v>2716205.1900000004</v>
      </c>
      <c r="K42" s="31">
        <v>54132.53</v>
      </c>
      <c r="L42" s="31">
        <v>2155137.7699999991</v>
      </c>
      <c r="M42" s="21">
        <v>22</v>
      </c>
      <c r="N42" s="31">
        <v>341932.81000000006</v>
      </c>
      <c r="O42" s="21">
        <v>13</v>
      </c>
      <c r="P42" s="31">
        <v>324567.07999999996</v>
      </c>
      <c r="Q42" s="21">
        <v>2</v>
      </c>
      <c r="R42" s="31">
        <v>120924.22</v>
      </c>
      <c r="S42" s="31">
        <f t="shared" si="1"/>
        <v>2942561.8799999994</v>
      </c>
      <c r="T42" s="31">
        <v>54132.53</v>
      </c>
    </row>
    <row r="43" spans="1:20" x14ac:dyDescent="0.2">
      <c r="A43" s="1" t="s">
        <v>9</v>
      </c>
      <c r="B43" s="26">
        <v>57</v>
      </c>
      <c r="C43" s="31">
        <v>2126181.25</v>
      </c>
      <c r="D43" s="26">
        <v>10</v>
      </c>
      <c r="E43" s="3">
        <v>155113.84</v>
      </c>
      <c r="F43" s="20">
        <v>15</v>
      </c>
      <c r="G43" s="3">
        <v>319449.77</v>
      </c>
      <c r="H43" s="23">
        <v>2</v>
      </c>
      <c r="I43" s="29">
        <v>136955.35999999999</v>
      </c>
      <c r="J43" s="31">
        <f t="shared" si="0"/>
        <v>2737700.2199999997</v>
      </c>
      <c r="K43" s="31">
        <v>79270.84</v>
      </c>
      <c r="L43" s="31">
        <v>2126181.25</v>
      </c>
      <c r="M43" s="21">
        <v>10</v>
      </c>
      <c r="N43" s="31">
        <v>155113.84</v>
      </c>
      <c r="O43" s="21">
        <v>15</v>
      </c>
      <c r="P43" s="31">
        <v>319449.77</v>
      </c>
      <c r="Q43" s="21">
        <v>2</v>
      </c>
      <c r="R43" s="31">
        <v>136955.35999999999</v>
      </c>
      <c r="S43" s="31">
        <f t="shared" si="1"/>
        <v>2737700.2199999997</v>
      </c>
      <c r="T43" s="31">
        <v>79270.84</v>
      </c>
    </row>
    <row r="44" spans="1:20" x14ac:dyDescent="0.2">
      <c r="A44" s="1" t="s">
        <v>55</v>
      </c>
      <c r="B44" s="26">
        <f>36-3</f>
        <v>33</v>
      </c>
      <c r="C44" s="31">
        <f>1563517.59-128033.75</f>
        <v>1435483.84</v>
      </c>
      <c r="D44" s="26">
        <v>10</v>
      </c>
      <c r="E44" s="3">
        <f>186925.2-18698.4</f>
        <v>168226.80000000002</v>
      </c>
      <c r="F44" s="20">
        <v>9</v>
      </c>
      <c r="G44" s="3">
        <v>227985.72999999998</v>
      </c>
      <c r="H44" s="23">
        <v>2</v>
      </c>
      <c r="I44" s="29">
        <v>129430.14000000001</v>
      </c>
      <c r="J44" s="31">
        <f t="shared" si="0"/>
        <v>1961126.5100000002</v>
      </c>
      <c r="K44" s="31">
        <v>36636.14</v>
      </c>
      <c r="L44" s="31">
        <v>1563517.5899999999</v>
      </c>
      <c r="M44" s="21">
        <v>11</v>
      </c>
      <c r="N44" s="31">
        <v>186925.2</v>
      </c>
      <c r="O44" s="21">
        <v>9</v>
      </c>
      <c r="P44" s="31">
        <v>227985.72999999998</v>
      </c>
      <c r="Q44" s="21">
        <v>2</v>
      </c>
      <c r="R44" s="31">
        <v>129430.14000000001</v>
      </c>
      <c r="S44" s="31">
        <f t="shared" si="1"/>
        <v>2107858.6599999997</v>
      </c>
      <c r="T44" s="31">
        <v>36636.14</v>
      </c>
    </row>
    <row r="45" spans="1:20" x14ac:dyDescent="0.2">
      <c r="A45" s="1" t="s">
        <v>30</v>
      </c>
      <c r="B45" s="26">
        <v>123</v>
      </c>
      <c r="C45" s="31">
        <v>4552629.37</v>
      </c>
      <c r="D45" s="26">
        <v>23</v>
      </c>
      <c r="E45" s="3">
        <v>422970.54</v>
      </c>
      <c r="F45" s="20">
        <v>27</v>
      </c>
      <c r="G45" s="3">
        <v>536603.75</v>
      </c>
      <c r="H45" s="23">
        <v>6</v>
      </c>
      <c r="I45" s="29">
        <v>369759.43999999994</v>
      </c>
      <c r="J45" s="31">
        <f t="shared" si="0"/>
        <v>5881963.0999999996</v>
      </c>
      <c r="K45" s="31">
        <v>180971.97</v>
      </c>
      <c r="L45" s="31">
        <v>4552629.37</v>
      </c>
      <c r="M45" s="21">
        <v>23</v>
      </c>
      <c r="N45" s="31">
        <v>422970.54</v>
      </c>
      <c r="O45" s="21">
        <v>27</v>
      </c>
      <c r="P45" s="31">
        <v>536603.75</v>
      </c>
      <c r="Q45" s="21">
        <v>6</v>
      </c>
      <c r="R45" s="31">
        <v>369759.43999999994</v>
      </c>
      <c r="S45" s="31">
        <f t="shared" si="1"/>
        <v>5881963.0999999996</v>
      </c>
      <c r="T45" s="31">
        <v>180971.97</v>
      </c>
    </row>
    <row r="46" spans="1:20" x14ac:dyDescent="0.2">
      <c r="A46" s="1" t="s">
        <v>65</v>
      </c>
      <c r="B46" s="26">
        <f>51-4</f>
        <v>47</v>
      </c>
      <c r="C46" s="31">
        <f>1676424.76-110414.15</f>
        <v>1566010.61</v>
      </c>
      <c r="D46" s="26">
        <v>17</v>
      </c>
      <c r="E46" s="3">
        <f>319235.66-32406.64</f>
        <v>286829.01999999996</v>
      </c>
      <c r="F46" s="20">
        <v>11</v>
      </c>
      <c r="G46" s="3">
        <v>250547.84000000003</v>
      </c>
      <c r="H46" s="23">
        <v>2</v>
      </c>
      <c r="I46" s="29">
        <v>114294.9</v>
      </c>
      <c r="J46" s="31">
        <f t="shared" si="0"/>
        <v>2217682.37</v>
      </c>
      <c r="K46" s="31">
        <v>38525.370000000003</v>
      </c>
      <c r="L46" s="31">
        <v>1676424.7600000002</v>
      </c>
      <c r="M46" s="21">
        <v>19</v>
      </c>
      <c r="N46" s="31">
        <v>319235.65999999997</v>
      </c>
      <c r="O46" s="21">
        <v>11</v>
      </c>
      <c r="P46" s="31">
        <v>250547.84000000003</v>
      </c>
      <c r="Q46" s="21">
        <v>2</v>
      </c>
      <c r="R46" s="31">
        <v>114294.9</v>
      </c>
      <c r="S46" s="31">
        <f t="shared" si="1"/>
        <v>2360503.16</v>
      </c>
      <c r="T46" s="31">
        <v>38525.370000000003</v>
      </c>
    </row>
    <row r="47" spans="1:20" x14ac:dyDescent="0.2">
      <c r="A47" s="1" t="s">
        <v>51</v>
      </c>
      <c r="B47" s="26">
        <f>54-4</f>
        <v>50</v>
      </c>
      <c r="C47" s="31">
        <f>2128845.98-183997.67</f>
        <v>1944848.31</v>
      </c>
      <c r="D47" s="20">
        <v>10</v>
      </c>
      <c r="E47" s="3">
        <f>196533.12-20862.24</f>
        <v>175670.88</v>
      </c>
      <c r="F47" s="20">
        <v>9</v>
      </c>
      <c r="G47" s="3">
        <v>213080.53000000003</v>
      </c>
      <c r="H47" s="23">
        <v>2</v>
      </c>
      <c r="I47" s="29">
        <v>126701.75999999999</v>
      </c>
      <c r="J47" s="31">
        <f t="shared" si="0"/>
        <v>2460301.4799999995</v>
      </c>
      <c r="K47" s="31">
        <v>65129.38</v>
      </c>
      <c r="L47" s="31">
        <v>2128845.9799999991</v>
      </c>
      <c r="M47" s="21">
        <v>11</v>
      </c>
      <c r="N47" s="31">
        <v>196533.12</v>
      </c>
      <c r="O47" s="21">
        <v>9</v>
      </c>
      <c r="P47" s="31">
        <v>213080.53000000003</v>
      </c>
      <c r="Q47" s="21">
        <v>2</v>
      </c>
      <c r="R47" s="31">
        <v>126701.75999999999</v>
      </c>
      <c r="S47" s="31">
        <f t="shared" si="1"/>
        <v>2665161.3899999987</v>
      </c>
      <c r="T47" s="31">
        <v>65129.38</v>
      </c>
    </row>
    <row r="48" spans="1:20" x14ac:dyDescent="0.2">
      <c r="A48" s="1" t="s">
        <v>31</v>
      </c>
      <c r="B48" s="26">
        <v>88</v>
      </c>
      <c r="C48" s="31">
        <v>3312336.4299999992</v>
      </c>
      <c r="D48" s="20">
        <v>10</v>
      </c>
      <c r="E48" s="3">
        <v>170085.79</v>
      </c>
      <c r="F48" s="20">
        <v>25</v>
      </c>
      <c r="G48" s="3">
        <v>526127.62000000011</v>
      </c>
      <c r="H48" s="23">
        <v>5</v>
      </c>
      <c r="I48" s="29">
        <v>316348.58</v>
      </c>
      <c r="J48" s="31">
        <f t="shared" si="0"/>
        <v>4324898.419999999</v>
      </c>
      <c r="K48" s="31">
        <v>167223.46</v>
      </c>
      <c r="L48" s="31">
        <v>3312336.4299999992</v>
      </c>
      <c r="M48" s="21">
        <v>10</v>
      </c>
      <c r="N48" s="31">
        <v>170085.79</v>
      </c>
      <c r="O48" s="21">
        <v>25</v>
      </c>
      <c r="P48" s="31">
        <v>526127.62000000011</v>
      </c>
      <c r="Q48" s="21">
        <v>5</v>
      </c>
      <c r="R48" s="31">
        <v>316348.58</v>
      </c>
      <c r="S48" s="31">
        <f t="shared" si="1"/>
        <v>4324898.419999999</v>
      </c>
      <c r="T48" s="31">
        <v>167223.46</v>
      </c>
    </row>
    <row r="49" spans="1:20" x14ac:dyDescent="0.2">
      <c r="A49" s="1" t="s">
        <v>0</v>
      </c>
      <c r="B49" s="26">
        <v>61</v>
      </c>
      <c r="C49" s="31">
        <v>2344267.7599999998</v>
      </c>
      <c r="D49" s="20">
        <v>10</v>
      </c>
      <c r="E49" s="3">
        <v>175898.23999999999</v>
      </c>
      <c r="F49" s="20">
        <v>15</v>
      </c>
      <c r="G49" s="3">
        <v>395368.62000000005</v>
      </c>
      <c r="H49" s="23">
        <v>3</v>
      </c>
      <c r="I49" s="29">
        <v>182376.44</v>
      </c>
      <c r="J49" s="31">
        <f t="shared" si="0"/>
        <v>3097911.06</v>
      </c>
      <c r="K49" s="31">
        <v>75757.289999999994</v>
      </c>
      <c r="L49" s="31">
        <v>2344267.7599999998</v>
      </c>
      <c r="M49" s="21">
        <v>10</v>
      </c>
      <c r="N49" s="31">
        <v>175898.23999999999</v>
      </c>
      <c r="O49" s="21">
        <v>15</v>
      </c>
      <c r="P49" s="31">
        <v>395368.62000000005</v>
      </c>
      <c r="Q49" s="21">
        <v>3</v>
      </c>
      <c r="R49" s="31">
        <v>182376.44</v>
      </c>
      <c r="S49" s="31">
        <f t="shared" si="1"/>
        <v>3097911.06</v>
      </c>
      <c r="T49" s="31">
        <v>75757.289999999994</v>
      </c>
    </row>
    <row r="50" spans="1:20" s="39" customFormat="1" x14ac:dyDescent="0.2">
      <c r="A50" s="37" t="s">
        <v>49</v>
      </c>
      <c r="B50" s="26">
        <v>128</v>
      </c>
      <c r="C50" s="31">
        <v>4524648.9699999988</v>
      </c>
      <c r="D50" s="34">
        <v>19</v>
      </c>
      <c r="E50" s="29">
        <v>328417.60000000003</v>
      </c>
      <c r="F50" s="30">
        <v>26</v>
      </c>
      <c r="G50" s="29">
        <v>613072.98</v>
      </c>
      <c r="H50" s="38">
        <v>5</v>
      </c>
      <c r="I50" s="29">
        <v>329128.27</v>
      </c>
      <c r="J50" s="31">
        <f>+C50+E50+G50+I50</f>
        <v>5795267.8199999984</v>
      </c>
      <c r="K50" s="31">
        <v>176317.72</v>
      </c>
      <c r="L50" s="31">
        <v>4524648.9699999988</v>
      </c>
      <c r="M50" s="34">
        <v>19</v>
      </c>
      <c r="N50" s="31">
        <v>328417.60000000003</v>
      </c>
      <c r="O50" s="34">
        <v>26</v>
      </c>
      <c r="P50" s="31">
        <v>613072.98</v>
      </c>
      <c r="Q50" s="34">
        <v>5</v>
      </c>
      <c r="R50" s="31">
        <v>329128.27</v>
      </c>
      <c r="S50" s="31">
        <f>+L50+N50+P50+R50</f>
        <v>5795267.8199999984</v>
      </c>
      <c r="T50" s="31">
        <v>176317.72</v>
      </c>
    </row>
    <row r="51" spans="1:20" s="39" customFormat="1" x14ac:dyDescent="0.2">
      <c r="A51" s="37" t="s">
        <v>28</v>
      </c>
      <c r="B51" s="34">
        <v>58</v>
      </c>
      <c r="C51" s="31">
        <v>2194462.7299999995</v>
      </c>
      <c r="D51" s="34">
        <v>5</v>
      </c>
      <c r="E51" s="29">
        <v>69557.259999999995</v>
      </c>
      <c r="F51" s="30">
        <v>14</v>
      </c>
      <c r="G51" s="29">
        <v>377680.52</v>
      </c>
      <c r="H51" s="38">
        <v>2</v>
      </c>
      <c r="I51" s="29">
        <v>115147.67</v>
      </c>
      <c r="J51" s="31">
        <f t="shared" si="0"/>
        <v>2756848.1799999992</v>
      </c>
      <c r="K51" s="31">
        <v>80887.710000000006</v>
      </c>
      <c r="L51" s="31">
        <v>2194462.7299999995</v>
      </c>
      <c r="M51" s="34">
        <v>5</v>
      </c>
      <c r="N51" s="31">
        <v>69557.259999999995</v>
      </c>
      <c r="O51" s="34">
        <v>14</v>
      </c>
      <c r="P51" s="31">
        <v>377680.52</v>
      </c>
      <c r="Q51" s="34">
        <v>2</v>
      </c>
      <c r="R51" s="31">
        <v>115147.67</v>
      </c>
      <c r="S51" s="31">
        <f t="shared" si="1"/>
        <v>2756848.1799999992</v>
      </c>
      <c r="T51" s="31">
        <v>80887.710000000006</v>
      </c>
    </row>
    <row r="52" spans="1:20" x14ac:dyDescent="0.2">
      <c r="A52" s="1" t="s">
        <v>33</v>
      </c>
      <c r="B52" s="21">
        <v>57</v>
      </c>
      <c r="C52" s="31">
        <v>2054011.9199999995</v>
      </c>
      <c r="D52" s="20">
        <v>15</v>
      </c>
      <c r="E52" s="3">
        <v>261841.87000000002</v>
      </c>
      <c r="F52" s="20">
        <v>12</v>
      </c>
      <c r="G52" s="3">
        <v>257920.85000000003</v>
      </c>
      <c r="H52" s="24">
        <v>2</v>
      </c>
      <c r="I52" s="29">
        <v>121997.62</v>
      </c>
      <c r="J52" s="31">
        <f t="shared" si="0"/>
        <v>2695772.26</v>
      </c>
      <c r="K52" s="31">
        <v>80993.25</v>
      </c>
      <c r="L52" s="31">
        <v>2054011.9199999995</v>
      </c>
      <c r="M52" s="21">
        <v>15</v>
      </c>
      <c r="N52" s="31">
        <v>261841.87000000002</v>
      </c>
      <c r="O52" s="21">
        <v>12</v>
      </c>
      <c r="P52" s="31">
        <v>257920.85000000003</v>
      </c>
      <c r="Q52" s="21">
        <v>2</v>
      </c>
      <c r="R52" s="31">
        <v>121997.62</v>
      </c>
      <c r="S52" s="31">
        <f t="shared" si="1"/>
        <v>2695772.26</v>
      </c>
      <c r="T52" s="31">
        <v>80993.25</v>
      </c>
    </row>
    <row r="53" spans="1:20" x14ac:dyDescent="0.2">
      <c r="A53" s="1" t="s">
        <v>64</v>
      </c>
      <c r="B53" s="21">
        <f>54-5</f>
        <v>49</v>
      </c>
      <c r="C53" s="31">
        <f>2192722.93-203943.46</f>
        <v>1988779.4700000002</v>
      </c>
      <c r="D53" s="20">
        <v>12</v>
      </c>
      <c r="E53" s="3">
        <f>244821.46-29000.16</f>
        <v>215821.3</v>
      </c>
      <c r="F53" s="20">
        <v>11</v>
      </c>
      <c r="G53" s="3">
        <v>272115.04000000004</v>
      </c>
      <c r="H53" s="24">
        <v>2</v>
      </c>
      <c r="I53" s="29">
        <v>100537.98</v>
      </c>
      <c r="J53" s="31">
        <f t="shared" si="0"/>
        <v>2577253.79</v>
      </c>
      <c r="K53" s="31">
        <v>54833.74</v>
      </c>
      <c r="L53" s="31">
        <v>2192722.9300000002</v>
      </c>
      <c r="M53" s="21">
        <v>15</v>
      </c>
      <c r="N53" s="31">
        <v>244821.46</v>
      </c>
      <c r="O53" s="21">
        <v>11</v>
      </c>
      <c r="P53" s="31">
        <v>272115.04000000004</v>
      </c>
      <c r="Q53" s="21">
        <v>2</v>
      </c>
      <c r="R53" s="31">
        <v>100537.98</v>
      </c>
      <c r="S53" s="31">
        <f t="shared" si="1"/>
        <v>2810197.41</v>
      </c>
      <c r="T53" s="31">
        <v>54833.74</v>
      </c>
    </row>
    <row r="54" spans="1:20" x14ac:dyDescent="0.2">
      <c r="A54" s="1" t="s">
        <v>27</v>
      </c>
      <c r="B54" s="21">
        <v>105</v>
      </c>
      <c r="C54" s="31">
        <v>3792166.629999999</v>
      </c>
      <c r="D54" s="20">
        <v>21</v>
      </c>
      <c r="E54" s="3">
        <f>382249.99-122187.1</f>
        <v>260062.88999999998</v>
      </c>
      <c r="F54" s="20">
        <v>25</v>
      </c>
      <c r="G54" s="3">
        <v>510624.56</v>
      </c>
      <c r="H54" s="24">
        <v>5</v>
      </c>
      <c r="I54" s="29">
        <v>279289.64</v>
      </c>
      <c r="J54" s="31">
        <f t="shared" si="0"/>
        <v>4842143.7199999988</v>
      </c>
      <c r="K54" s="31">
        <v>183247.82</v>
      </c>
      <c r="L54" s="31">
        <v>3792166.629999999</v>
      </c>
      <c r="M54" s="21">
        <v>21</v>
      </c>
      <c r="N54" s="31">
        <v>382249.99000000005</v>
      </c>
      <c r="O54" s="21">
        <v>25</v>
      </c>
      <c r="P54" s="31">
        <v>510624.56</v>
      </c>
      <c r="Q54" s="21">
        <v>5</v>
      </c>
      <c r="R54" s="31">
        <v>279289.64</v>
      </c>
      <c r="S54" s="31">
        <f t="shared" si="1"/>
        <v>4964330.8199999984</v>
      </c>
      <c r="T54" s="31">
        <v>183247.82</v>
      </c>
    </row>
    <row r="55" spans="1:20" x14ac:dyDescent="0.2">
      <c r="A55" s="1" t="s">
        <v>70</v>
      </c>
      <c r="B55" s="21">
        <v>48</v>
      </c>
      <c r="C55" s="31">
        <f>1634407.44-38184.79</f>
        <v>1596222.65</v>
      </c>
      <c r="D55" s="20">
        <v>14</v>
      </c>
      <c r="E55" s="3">
        <v>255890.09000000003</v>
      </c>
      <c r="F55" s="20">
        <v>12</v>
      </c>
      <c r="G55" s="3">
        <v>308196.60000000003</v>
      </c>
      <c r="H55" s="24">
        <v>2</v>
      </c>
      <c r="I55" s="29">
        <v>133729.20000000001</v>
      </c>
      <c r="J55" s="31">
        <f t="shared" si="0"/>
        <v>2294038.54</v>
      </c>
      <c r="K55" s="31">
        <v>65640.69</v>
      </c>
      <c r="L55" s="31">
        <v>1634407.4399999995</v>
      </c>
      <c r="M55" s="21">
        <v>14</v>
      </c>
      <c r="N55" s="31">
        <v>255890.09000000003</v>
      </c>
      <c r="O55" s="21">
        <v>12</v>
      </c>
      <c r="P55" s="31">
        <v>308196.60000000003</v>
      </c>
      <c r="Q55" s="21">
        <v>2</v>
      </c>
      <c r="R55" s="31">
        <v>133729.20000000001</v>
      </c>
      <c r="S55" s="31">
        <f t="shared" si="1"/>
        <v>2332223.3299999996</v>
      </c>
      <c r="T55" s="31">
        <v>65640.69</v>
      </c>
    </row>
    <row r="56" spans="1:20" x14ac:dyDescent="0.2">
      <c r="A56" s="1" t="s">
        <v>25</v>
      </c>
      <c r="B56" s="21">
        <v>56</v>
      </c>
      <c r="C56" s="31">
        <f>1974116.37-35168.25</f>
        <v>1938948.12</v>
      </c>
      <c r="D56" s="20">
        <v>8</v>
      </c>
      <c r="E56" s="3">
        <v>119703.89</v>
      </c>
      <c r="F56" s="20">
        <v>15</v>
      </c>
      <c r="G56" s="3">
        <v>322332.15000000002</v>
      </c>
      <c r="H56" s="24">
        <v>2</v>
      </c>
      <c r="I56" s="29">
        <v>132589.85999999999</v>
      </c>
      <c r="J56" s="31">
        <f t="shared" si="0"/>
        <v>2513574.02</v>
      </c>
      <c r="K56" s="31">
        <v>78569.87</v>
      </c>
      <c r="L56" s="31">
        <v>1974116.3699999996</v>
      </c>
      <c r="M56" s="21">
        <v>8</v>
      </c>
      <c r="N56" s="31">
        <v>119703.89</v>
      </c>
      <c r="O56" s="21">
        <v>15</v>
      </c>
      <c r="P56" s="31">
        <v>322332.15000000002</v>
      </c>
      <c r="Q56" s="21">
        <v>2</v>
      </c>
      <c r="R56" s="31">
        <v>132589.85999999999</v>
      </c>
      <c r="S56" s="31">
        <f t="shared" si="1"/>
        <v>2548742.2699999996</v>
      </c>
      <c r="T56" s="31">
        <v>78569.87</v>
      </c>
    </row>
    <row r="57" spans="1:20" x14ac:dyDescent="0.2">
      <c r="A57" s="1" t="s">
        <v>19</v>
      </c>
      <c r="B57" s="21">
        <v>59</v>
      </c>
      <c r="C57" s="31">
        <v>2224190.59</v>
      </c>
      <c r="D57" s="20">
        <v>15</v>
      </c>
      <c r="E57" s="3">
        <f>283154.86-28694.4</f>
        <v>254460.46</v>
      </c>
      <c r="F57" s="20">
        <v>15</v>
      </c>
      <c r="G57" s="3">
        <v>381926.17</v>
      </c>
      <c r="H57" s="24">
        <v>2</v>
      </c>
      <c r="I57" s="29">
        <v>100815.13</v>
      </c>
      <c r="J57" s="31">
        <f t="shared" si="0"/>
        <v>2961392.3499999996</v>
      </c>
      <c r="K57" s="31">
        <v>75754.490000000005</v>
      </c>
      <c r="L57" s="31">
        <v>2224190.59</v>
      </c>
      <c r="M57" s="21">
        <v>15</v>
      </c>
      <c r="N57" s="31">
        <v>283154.86000000004</v>
      </c>
      <c r="O57" s="21">
        <v>15</v>
      </c>
      <c r="P57" s="31">
        <v>381926.17</v>
      </c>
      <c r="Q57" s="21">
        <v>2</v>
      </c>
      <c r="R57" s="31">
        <v>100815.13</v>
      </c>
      <c r="S57" s="31">
        <f t="shared" si="1"/>
        <v>2990086.7499999995</v>
      </c>
      <c r="T57" s="31">
        <v>75754.490000000005</v>
      </c>
    </row>
    <row r="58" spans="1:20" x14ac:dyDescent="0.2">
      <c r="A58" s="1" t="s">
        <v>54</v>
      </c>
      <c r="B58" s="21" t="s">
        <v>91</v>
      </c>
      <c r="C58" s="31">
        <f>2428775.83-248808.08</f>
        <v>2179967.75</v>
      </c>
      <c r="D58" s="20">
        <v>14</v>
      </c>
      <c r="E58" s="3">
        <f>300644.92-78188.32</f>
        <v>222456.59999999998</v>
      </c>
      <c r="F58" s="20">
        <v>10</v>
      </c>
      <c r="G58" s="3">
        <v>243032.41999999998</v>
      </c>
      <c r="H58" s="24">
        <v>2</v>
      </c>
      <c r="I58" s="29">
        <v>132124.79999999999</v>
      </c>
      <c r="J58" s="31">
        <f t="shared" si="0"/>
        <v>2777581.57</v>
      </c>
      <c r="K58" s="31">
        <v>50258.91</v>
      </c>
      <c r="L58" s="31">
        <v>2428775.8299999996</v>
      </c>
      <c r="M58" s="21">
        <v>19</v>
      </c>
      <c r="N58" s="31">
        <v>300644.92</v>
      </c>
      <c r="O58" s="21">
        <v>10</v>
      </c>
      <c r="P58" s="31">
        <v>243032.41999999998</v>
      </c>
      <c r="Q58" s="21">
        <v>2</v>
      </c>
      <c r="R58" s="31">
        <v>132124.79999999999</v>
      </c>
      <c r="S58" s="31">
        <f t="shared" si="1"/>
        <v>3104577.9699999993</v>
      </c>
      <c r="T58" s="31">
        <v>50258.91</v>
      </c>
    </row>
    <row r="59" spans="1:20" x14ac:dyDescent="0.2">
      <c r="A59" s="1" t="s">
        <v>69</v>
      </c>
      <c r="B59" s="21">
        <f>63-5</f>
        <v>58</v>
      </c>
      <c r="C59" s="31">
        <f>2586451.02-236444.54</f>
        <v>2350006.48</v>
      </c>
      <c r="D59" s="20">
        <v>28</v>
      </c>
      <c r="E59" s="3">
        <f>408068.1-6687.52</f>
        <v>401380.57999999996</v>
      </c>
      <c r="F59" s="20">
        <v>12</v>
      </c>
      <c r="G59" s="3">
        <v>331657.39999999997</v>
      </c>
      <c r="H59" s="24">
        <v>2</v>
      </c>
      <c r="I59" s="29">
        <v>132478.79999999999</v>
      </c>
      <c r="J59" s="31">
        <f t="shared" si="0"/>
        <v>3215523.26</v>
      </c>
      <c r="K59" s="31">
        <v>58076.27</v>
      </c>
      <c r="L59" s="31">
        <v>2586451.0199999991</v>
      </c>
      <c r="M59" s="21">
        <v>29</v>
      </c>
      <c r="N59" s="31">
        <v>408068.09999999992</v>
      </c>
      <c r="O59" s="21">
        <v>12</v>
      </c>
      <c r="P59" s="31">
        <v>331657.39999999997</v>
      </c>
      <c r="Q59" s="21">
        <v>2</v>
      </c>
      <c r="R59" s="31">
        <v>132478.79999999999</v>
      </c>
      <c r="S59" s="31">
        <f t="shared" si="1"/>
        <v>3458655.3199999989</v>
      </c>
      <c r="T59" s="31">
        <v>58076.27</v>
      </c>
    </row>
    <row r="60" spans="1:20" x14ac:dyDescent="0.2">
      <c r="A60" s="1" t="s">
        <v>38</v>
      </c>
      <c r="B60" s="21">
        <v>121</v>
      </c>
      <c r="C60" s="31">
        <f>4377689.67-25993.5</f>
        <v>4351696.17</v>
      </c>
      <c r="D60" s="20">
        <v>22</v>
      </c>
      <c r="E60" s="3">
        <v>366385.53</v>
      </c>
      <c r="F60" s="20">
        <v>27</v>
      </c>
      <c r="G60" s="3">
        <v>594027.30000000005</v>
      </c>
      <c r="H60" s="24">
        <v>6</v>
      </c>
      <c r="I60" s="29">
        <v>358224.87</v>
      </c>
      <c r="J60" s="31">
        <f t="shared" si="0"/>
        <v>5670333.8700000001</v>
      </c>
      <c r="K60" s="31">
        <v>199758.09</v>
      </c>
      <c r="L60" s="31">
        <v>4377689.67</v>
      </c>
      <c r="M60" s="21">
        <v>22</v>
      </c>
      <c r="N60" s="31">
        <v>366385.53</v>
      </c>
      <c r="O60" s="21">
        <v>27</v>
      </c>
      <c r="P60" s="31">
        <v>594027.30000000005</v>
      </c>
      <c r="Q60" s="21">
        <v>6</v>
      </c>
      <c r="R60" s="31">
        <v>358224.87</v>
      </c>
      <c r="S60" s="31">
        <f t="shared" si="1"/>
        <v>5696327.3700000001</v>
      </c>
      <c r="T60" s="31">
        <v>199758.09</v>
      </c>
    </row>
    <row r="61" spans="1:20" x14ac:dyDescent="0.2">
      <c r="A61" s="1" t="s">
        <v>23</v>
      </c>
      <c r="B61" s="21">
        <v>98</v>
      </c>
      <c r="C61" s="31">
        <v>3699295.19</v>
      </c>
      <c r="D61" s="20">
        <v>13</v>
      </c>
      <c r="E61" s="3">
        <v>207243.83</v>
      </c>
      <c r="F61" s="20">
        <v>25</v>
      </c>
      <c r="G61" s="3">
        <v>582226.16999999993</v>
      </c>
      <c r="H61" s="24">
        <v>5</v>
      </c>
      <c r="I61" s="29">
        <v>330962.81</v>
      </c>
      <c r="J61" s="31">
        <f t="shared" si="0"/>
        <v>4819727.9999999991</v>
      </c>
      <c r="K61" s="31">
        <v>169135.75</v>
      </c>
      <c r="L61" s="31">
        <v>3699295.19</v>
      </c>
      <c r="M61" s="21">
        <v>13</v>
      </c>
      <c r="N61" s="31">
        <v>207243.83</v>
      </c>
      <c r="O61" s="21">
        <v>25</v>
      </c>
      <c r="P61" s="31">
        <v>582226.16999999993</v>
      </c>
      <c r="Q61" s="21">
        <v>5</v>
      </c>
      <c r="R61" s="31">
        <v>330962.81</v>
      </c>
      <c r="S61" s="31">
        <f t="shared" si="1"/>
        <v>4819727.9999999991</v>
      </c>
      <c r="T61" s="31">
        <v>169135.75</v>
      </c>
    </row>
    <row r="62" spans="1:20" x14ac:dyDescent="0.2">
      <c r="A62" s="1" t="s">
        <v>58</v>
      </c>
      <c r="B62" s="21">
        <f>58-7</f>
        <v>51</v>
      </c>
      <c r="C62" s="31">
        <f>2253862.44-233454.01</f>
        <v>2020408.43</v>
      </c>
      <c r="D62" s="20">
        <v>19</v>
      </c>
      <c r="E62" s="3">
        <f>334336.65-35444.64</f>
        <v>298892.01</v>
      </c>
      <c r="F62" s="20">
        <v>13</v>
      </c>
      <c r="G62" s="3">
        <v>301322.94</v>
      </c>
      <c r="H62" s="24">
        <v>2</v>
      </c>
      <c r="I62" s="29">
        <v>134404.47999999998</v>
      </c>
      <c r="J62" s="31">
        <f t="shared" si="0"/>
        <v>2755027.86</v>
      </c>
      <c r="K62" s="31">
        <v>55455.26</v>
      </c>
      <c r="L62" s="31">
        <v>2253862.44</v>
      </c>
      <c r="M62" s="21">
        <v>22</v>
      </c>
      <c r="N62" s="31">
        <v>334336.64999999997</v>
      </c>
      <c r="O62" s="21">
        <v>13</v>
      </c>
      <c r="P62" s="31">
        <v>301322.94</v>
      </c>
      <c r="Q62" s="21">
        <v>2</v>
      </c>
      <c r="R62" s="31">
        <v>134404.47999999998</v>
      </c>
      <c r="S62" s="31">
        <f t="shared" si="1"/>
        <v>3023926.51</v>
      </c>
      <c r="T62" s="31">
        <v>55455.26</v>
      </c>
    </row>
    <row r="63" spans="1:20" x14ac:dyDescent="0.2">
      <c r="A63" s="1" t="s">
        <v>72</v>
      </c>
      <c r="B63" s="21">
        <f>61-6</f>
        <v>55</v>
      </c>
      <c r="C63" s="31">
        <f>2158510.38-213325.68</f>
        <v>1945184.7</v>
      </c>
      <c r="D63" s="20">
        <v>18</v>
      </c>
      <c r="E63" s="3">
        <f>337957.73-57612.24</f>
        <v>280345.49</v>
      </c>
      <c r="F63" s="20">
        <v>11</v>
      </c>
      <c r="G63" s="3">
        <v>249184.11</v>
      </c>
      <c r="H63" s="24">
        <v>2</v>
      </c>
      <c r="I63" s="29">
        <v>109962.12</v>
      </c>
      <c r="J63" s="31">
        <f t="shared" si="0"/>
        <v>2584676.42</v>
      </c>
      <c r="K63" s="31">
        <v>45422.03</v>
      </c>
      <c r="L63" s="31">
        <v>2158510.38</v>
      </c>
      <c r="M63" s="21">
        <v>22</v>
      </c>
      <c r="N63" s="31">
        <v>337957.7300000001</v>
      </c>
      <c r="O63" s="21">
        <v>11</v>
      </c>
      <c r="P63" s="31">
        <v>249184.11</v>
      </c>
      <c r="Q63" s="21">
        <v>2</v>
      </c>
      <c r="R63" s="31">
        <v>109962.12</v>
      </c>
      <c r="S63" s="31">
        <f t="shared" si="1"/>
        <v>2855614.34</v>
      </c>
      <c r="T63" s="31">
        <v>45422.03</v>
      </c>
    </row>
    <row r="64" spans="1:20" x14ac:dyDescent="0.2">
      <c r="A64" s="1" t="s">
        <v>8</v>
      </c>
      <c r="B64" s="21">
        <f>57-5</f>
        <v>52</v>
      </c>
      <c r="C64" s="31">
        <f>2002572.63-177728.96</f>
        <v>1824843.67</v>
      </c>
      <c r="D64" s="20">
        <v>13</v>
      </c>
      <c r="E64" s="3">
        <v>213079.56000000003</v>
      </c>
      <c r="F64" s="20">
        <v>11</v>
      </c>
      <c r="G64" s="3">
        <v>274284.62999999995</v>
      </c>
      <c r="H64" s="24">
        <v>2</v>
      </c>
      <c r="I64" s="29">
        <v>142157.28</v>
      </c>
      <c r="J64" s="31">
        <f t="shared" si="0"/>
        <v>2454365.1399999997</v>
      </c>
      <c r="K64" s="31">
        <v>57195.040000000001</v>
      </c>
      <c r="L64" s="31">
        <v>2002572.6299999992</v>
      </c>
      <c r="M64" s="21">
        <v>13</v>
      </c>
      <c r="N64" s="31">
        <v>213079.56000000003</v>
      </c>
      <c r="O64" s="21">
        <v>11</v>
      </c>
      <c r="P64" s="31">
        <v>274284.62999999995</v>
      </c>
      <c r="Q64" s="21">
        <v>2</v>
      </c>
      <c r="R64" s="31">
        <v>142157.28</v>
      </c>
      <c r="S64" s="31">
        <f t="shared" si="1"/>
        <v>2632094.0999999987</v>
      </c>
      <c r="T64" s="31">
        <v>57195.040000000001</v>
      </c>
    </row>
    <row r="65" spans="1:20" x14ac:dyDescent="0.2">
      <c r="A65" s="1" t="s">
        <v>44</v>
      </c>
      <c r="B65" s="21">
        <f>58-6</f>
        <v>52</v>
      </c>
      <c r="C65" s="31">
        <f>2126545.9-220046.13</f>
        <v>1906499.77</v>
      </c>
      <c r="D65" s="20">
        <v>18</v>
      </c>
      <c r="E65" s="3">
        <f>325378.35-42375.2</f>
        <v>283003.14999999997</v>
      </c>
      <c r="F65" s="20">
        <v>12</v>
      </c>
      <c r="G65" s="3">
        <v>249400.61</v>
      </c>
      <c r="H65" s="24">
        <v>2</v>
      </c>
      <c r="I65" s="29">
        <v>124887.14</v>
      </c>
      <c r="J65" s="31">
        <f t="shared" si="0"/>
        <v>2563790.67</v>
      </c>
      <c r="K65" s="31">
        <v>49159.43</v>
      </c>
      <c r="L65" s="31">
        <v>2126545.8999999994</v>
      </c>
      <c r="M65" s="21">
        <v>21</v>
      </c>
      <c r="N65" s="31">
        <v>325378.34999999998</v>
      </c>
      <c r="O65" s="21">
        <v>12</v>
      </c>
      <c r="P65" s="31">
        <v>249400.61</v>
      </c>
      <c r="Q65" s="21">
        <v>2</v>
      </c>
      <c r="R65" s="31">
        <v>124887.14</v>
      </c>
      <c r="S65" s="31">
        <f t="shared" si="1"/>
        <v>2826211.9999999995</v>
      </c>
      <c r="T65" s="31">
        <v>49159.43</v>
      </c>
    </row>
    <row r="66" spans="1:20" x14ac:dyDescent="0.2">
      <c r="A66" s="1" t="s">
        <v>40</v>
      </c>
      <c r="B66" s="21">
        <f>56-5</f>
        <v>51</v>
      </c>
      <c r="C66" s="31">
        <f>2025583.11-173808.92</f>
        <v>1851774.1900000002</v>
      </c>
      <c r="D66" s="20">
        <v>16</v>
      </c>
      <c r="E66" s="3">
        <f>324392.45-57279.04</f>
        <v>267113.41000000003</v>
      </c>
      <c r="F66" s="20">
        <v>12</v>
      </c>
      <c r="G66" s="3">
        <v>270267.76</v>
      </c>
      <c r="H66" s="24">
        <v>2</v>
      </c>
      <c r="I66" s="29">
        <v>99050.59</v>
      </c>
      <c r="J66" s="31">
        <f t="shared" si="0"/>
        <v>2488205.9500000002</v>
      </c>
      <c r="K66" s="31">
        <v>50320.71</v>
      </c>
      <c r="L66" s="31">
        <v>2025583.1099999994</v>
      </c>
      <c r="M66" s="21">
        <v>20</v>
      </c>
      <c r="N66" s="31">
        <v>324392.45</v>
      </c>
      <c r="O66" s="21">
        <v>12</v>
      </c>
      <c r="P66" s="31">
        <v>270267.76</v>
      </c>
      <c r="Q66" s="21">
        <v>2</v>
      </c>
      <c r="R66" s="31">
        <v>99050.59</v>
      </c>
      <c r="S66" s="31">
        <f t="shared" si="1"/>
        <v>2719293.9099999992</v>
      </c>
      <c r="T66" s="31">
        <v>50320.71</v>
      </c>
    </row>
    <row r="67" spans="1:20" x14ac:dyDescent="0.2">
      <c r="A67" s="1" t="s">
        <v>68</v>
      </c>
      <c r="B67" s="21">
        <f>62-5</f>
        <v>57</v>
      </c>
      <c r="C67" s="31">
        <f>2128745.87-213949.12</f>
        <v>1914796.75</v>
      </c>
      <c r="D67" s="20">
        <v>16</v>
      </c>
      <c r="E67" s="3">
        <f>346495.78-58972.48</f>
        <v>287523.30000000005</v>
      </c>
      <c r="F67" s="20">
        <v>11</v>
      </c>
      <c r="G67" s="3">
        <v>266332.31</v>
      </c>
      <c r="H67" s="24">
        <v>2</v>
      </c>
      <c r="I67" s="29">
        <v>126025.98000000001</v>
      </c>
      <c r="J67" s="31">
        <f t="shared" si="0"/>
        <v>2594678.34</v>
      </c>
      <c r="K67" s="31">
        <v>39078.44</v>
      </c>
      <c r="L67" s="31">
        <v>2128745.8699999996</v>
      </c>
      <c r="M67" s="21">
        <v>19</v>
      </c>
      <c r="N67" s="31">
        <v>346495.78</v>
      </c>
      <c r="O67" s="21">
        <v>11</v>
      </c>
      <c r="P67" s="31">
        <v>266332.31</v>
      </c>
      <c r="Q67" s="21">
        <v>2</v>
      </c>
      <c r="R67" s="31">
        <v>126025.98000000001</v>
      </c>
      <c r="S67" s="31">
        <f t="shared" si="1"/>
        <v>2867599.9399999995</v>
      </c>
      <c r="T67" s="31">
        <v>39078.44</v>
      </c>
    </row>
    <row r="68" spans="1:20" x14ac:dyDescent="0.2">
      <c r="A68" s="7" t="s">
        <v>75</v>
      </c>
      <c r="B68" s="21">
        <v>55</v>
      </c>
      <c r="C68" s="31">
        <v>1704861.63</v>
      </c>
      <c r="D68" s="21">
        <v>9</v>
      </c>
      <c r="E68" s="3">
        <v>148944.68</v>
      </c>
      <c r="F68" s="20">
        <v>12</v>
      </c>
      <c r="G68" s="3">
        <v>223565.83</v>
      </c>
      <c r="H68" s="24">
        <v>3</v>
      </c>
      <c r="I68" s="29">
        <v>184573.82</v>
      </c>
      <c r="J68" s="31">
        <f t="shared" ref="J68:J76" si="2">+C68+E68+G68+I68</f>
        <v>2261945.96</v>
      </c>
      <c r="K68" s="31">
        <v>57599.14</v>
      </c>
      <c r="L68" s="31">
        <v>1704861.63</v>
      </c>
      <c r="M68" s="21">
        <v>9</v>
      </c>
      <c r="N68" s="31">
        <v>148944.68</v>
      </c>
      <c r="O68" s="21">
        <v>12</v>
      </c>
      <c r="P68" s="31">
        <v>223565.83</v>
      </c>
      <c r="Q68" s="21">
        <v>3</v>
      </c>
      <c r="R68" s="31">
        <v>184573.82</v>
      </c>
      <c r="S68" s="31">
        <f t="shared" ref="S68:S77" si="3">+L68+N68+P68+R68</f>
        <v>2261945.96</v>
      </c>
      <c r="T68" s="31">
        <v>57599.14</v>
      </c>
    </row>
    <row r="69" spans="1:20" x14ac:dyDescent="0.2">
      <c r="A69" s="1" t="s">
        <v>47</v>
      </c>
      <c r="B69" s="21">
        <f>50-4</f>
        <v>46</v>
      </c>
      <c r="C69" s="31">
        <f>1871170.27-165595.63</f>
        <v>1705574.6400000001</v>
      </c>
      <c r="D69" s="20">
        <v>21</v>
      </c>
      <c r="E69" s="3">
        <f>335074.54-19113.92</f>
        <v>315960.62</v>
      </c>
      <c r="F69" s="20">
        <v>10</v>
      </c>
      <c r="G69" s="3">
        <v>249512.20999999996</v>
      </c>
      <c r="H69" s="24">
        <v>2</v>
      </c>
      <c r="I69" s="29">
        <v>134354.40000000002</v>
      </c>
      <c r="J69" s="31">
        <f t="shared" si="2"/>
        <v>2405401.87</v>
      </c>
      <c r="K69" s="31">
        <v>47612.35</v>
      </c>
      <c r="L69" s="31">
        <v>1871170.2699999998</v>
      </c>
      <c r="M69" s="21">
        <v>22</v>
      </c>
      <c r="N69" s="31">
        <v>335074.53999999992</v>
      </c>
      <c r="O69" s="21">
        <v>10</v>
      </c>
      <c r="P69" s="31">
        <v>249512.20999999996</v>
      </c>
      <c r="Q69" s="21">
        <v>2</v>
      </c>
      <c r="R69" s="31">
        <v>134354.40000000002</v>
      </c>
      <c r="S69" s="31">
        <f t="shared" si="3"/>
        <v>2590111.4199999995</v>
      </c>
      <c r="T69" s="31">
        <v>47612.35</v>
      </c>
    </row>
    <row r="70" spans="1:20" x14ac:dyDescent="0.2">
      <c r="A70" s="1" t="s">
        <v>16</v>
      </c>
      <c r="B70" s="21">
        <f>40-3</f>
        <v>37</v>
      </c>
      <c r="C70" s="31">
        <f>1403552.51-96931.8</f>
        <v>1306620.71</v>
      </c>
      <c r="D70" s="20">
        <v>9</v>
      </c>
      <c r="E70" s="3">
        <f>183683.36-13947.36</f>
        <v>169736</v>
      </c>
      <c r="F70" s="20">
        <v>11</v>
      </c>
      <c r="G70" s="3">
        <v>280551.33</v>
      </c>
      <c r="H70" s="24">
        <v>2</v>
      </c>
      <c r="I70" s="29">
        <v>108197.08</v>
      </c>
      <c r="J70" s="31">
        <f t="shared" si="2"/>
        <v>1865105.12</v>
      </c>
      <c r="K70" s="31">
        <v>42868.69</v>
      </c>
      <c r="L70" s="31">
        <v>1403552.51</v>
      </c>
      <c r="M70" s="21">
        <v>10</v>
      </c>
      <c r="N70" s="31">
        <v>183683.35999999996</v>
      </c>
      <c r="O70" s="21">
        <v>11</v>
      </c>
      <c r="P70" s="31">
        <v>280551.33</v>
      </c>
      <c r="Q70" s="21">
        <v>2</v>
      </c>
      <c r="R70" s="31">
        <v>108197.08</v>
      </c>
      <c r="S70" s="31">
        <f t="shared" si="3"/>
        <v>1975984.28</v>
      </c>
      <c r="T70" s="31">
        <v>42868.69</v>
      </c>
    </row>
    <row r="71" spans="1:20" x14ac:dyDescent="0.2">
      <c r="A71" s="1" t="s">
        <v>14</v>
      </c>
      <c r="B71" s="21">
        <f>79-9</f>
        <v>70</v>
      </c>
      <c r="C71" s="31">
        <f>2746901.64-291650.68</f>
        <v>2455250.96</v>
      </c>
      <c r="D71" s="20">
        <v>28</v>
      </c>
      <c r="E71" s="3">
        <f>499331.54-47553.52</f>
        <v>451778.01999999996</v>
      </c>
      <c r="F71" s="20">
        <v>16</v>
      </c>
      <c r="G71" s="3">
        <v>342361.42</v>
      </c>
      <c r="H71" s="24">
        <v>3</v>
      </c>
      <c r="I71" s="29">
        <v>176599.88</v>
      </c>
      <c r="J71" s="31">
        <f t="shared" si="2"/>
        <v>3425990.28</v>
      </c>
      <c r="K71" s="31">
        <v>67256.38</v>
      </c>
      <c r="L71" s="31">
        <v>2746901.6399999992</v>
      </c>
      <c r="M71" s="21">
        <v>32</v>
      </c>
      <c r="N71" s="31">
        <v>499331.54</v>
      </c>
      <c r="O71" s="21">
        <v>16</v>
      </c>
      <c r="P71" s="31">
        <v>342361.42</v>
      </c>
      <c r="Q71" s="21">
        <v>3</v>
      </c>
      <c r="R71" s="31">
        <v>176599.88</v>
      </c>
      <c r="S71" s="31">
        <f t="shared" si="3"/>
        <v>3765194.4799999991</v>
      </c>
      <c r="T71" s="31">
        <v>67256.38</v>
      </c>
    </row>
    <row r="72" spans="1:20" x14ac:dyDescent="0.2">
      <c r="A72" s="1" t="s">
        <v>57</v>
      </c>
      <c r="B72" s="21">
        <f>62-6</f>
        <v>56</v>
      </c>
      <c r="C72" s="31">
        <f>2402127.35-234258.92</f>
        <v>2167868.4300000002</v>
      </c>
      <c r="D72" s="20">
        <v>32</v>
      </c>
      <c r="E72" s="3">
        <f>539124.08-16589.44</f>
        <v>522534.63999999996</v>
      </c>
      <c r="F72" s="20">
        <v>11</v>
      </c>
      <c r="G72" s="3">
        <v>284013.11</v>
      </c>
      <c r="H72" s="24">
        <v>2</v>
      </c>
      <c r="I72" s="29">
        <v>124887.14</v>
      </c>
      <c r="J72" s="31">
        <f t="shared" si="2"/>
        <v>3099303.3200000003</v>
      </c>
      <c r="K72" s="31">
        <v>46127.56</v>
      </c>
      <c r="L72" s="31">
        <v>2402127.3499999992</v>
      </c>
      <c r="M72" s="21">
        <v>33</v>
      </c>
      <c r="N72" s="31">
        <v>539124.07999999996</v>
      </c>
      <c r="O72" s="21">
        <v>11</v>
      </c>
      <c r="P72" s="31">
        <v>284013.11</v>
      </c>
      <c r="Q72" s="21">
        <v>2</v>
      </c>
      <c r="R72" s="31">
        <v>124887.14</v>
      </c>
      <c r="S72" s="31">
        <f t="shared" si="3"/>
        <v>3350151.6799999992</v>
      </c>
      <c r="T72" s="31">
        <v>46127.56</v>
      </c>
    </row>
    <row r="73" spans="1:20" x14ac:dyDescent="0.2">
      <c r="A73" s="1" t="s">
        <v>66</v>
      </c>
      <c r="B73" s="21">
        <f>70-5</f>
        <v>65</v>
      </c>
      <c r="C73" s="31">
        <f>2665726.71-217581.56</f>
        <v>2448145.15</v>
      </c>
      <c r="D73" s="20">
        <v>28</v>
      </c>
      <c r="E73" s="3">
        <f>437523.02-58619.68</f>
        <v>378903.34</v>
      </c>
      <c r="F73" s="20">
        <v>11</v>
      </c>
      <c r="G73" s="3">
        <v>283355.90999999997</v>
      </c>
      <c r="H73" s="24">
        <v>3</v>
      </c>
      <c r="I73" s="29">
        <v>188572.81</v>
      </c>
      <c r="J73" s="31">
        <f t="shared" si="2"/>
        <v>3298977.21</v>
      </c>
      <c r="K73" s="31">
        <v>66195.240000000005</v>
      </c>
      <c r="L73" s="31">
        <v>2665726.7099999995</v>
      </c>
      <c r="M73" s="21">
        <v>33</v>
      </c>
      <c r="N73" s="31">
        <v>437523.0199999999</v>
      </c>
      <c r="O73" s="21">
        <v>11</v>
      </c>
      <c r="P73" s="31">
        <v>283355.90999999997</v>
      </c>
      <c r="Q73" s="21">
        <v>3</v>
      </c>
      <c r="R73" s="31">
        <v>188572.81</v>
      </c>
      <c r="S73" s="31">
        <f t="shared" si="3"/>
        <v>3575178.4499999997</v>
      </c>
      <c r="T73" s="31">
        <v>66195.240000000005</v>
      </c>
    </row>
    <row r="74" spans="1:20" x14ac:dyDescent="0.2">
      <c r="A74" s="1" t="s">
        <v>32</v>
      </c>
      <c r="B74" s="21">
        <f>32-2</f>
        <v>30</v>
      </c>
      <c r="C74" s="31">
        <f>1200678.43-51871.63</f>
        <v>1148806.8</v>
      </c>
      <c r="D74" s="20">
        <v>10</v>
      </c>
      <c r="E74" s="3">
        <f>185604.16-22849.68</f>
        <v>162754.48000000001</v>
      </c>
      <c r="F74" s="20">
        <v>7</v>
      </c>
      <c r="G74" s="3">
        <v>256259.3</v>
      </c>
      <c r="H74" s="24">
        <v>2</v>
      </c>
      <c r="I74" s="29">
        <v>134725.76000000001</v>
      </c>
      <c r="J74" s="31">
        <f t="shared" si="2"/>
        <v>1702546.34</v>
      </c>
      <c r="K74" s="31">
        <v>32066.52</v>
      </c>
      <c r="L74" s="31">
        <v>1200678.4299999997</v>
      </c>
      <c r="M74" s="21">
        <v>12</v>
      </c>
      <c r="N74" s="31">
        <v>185604.16</v>
      </c>
      <c r="O74" s="21">
        <v>7</v>
      </c>
      <c r="P74" s="31">
        <v>256259.3</v>
      </c>
      <c r="Q74" s="21">
        <v>2</v>
      </c>
      <c r="R74" s="31">
        <v>134725.76000000001</v>
      </c>
      <c r="S74" s="31">
        <f t="shared" si="3"/>
        <v>1777267.6499999997</v>
      </c>
      <c r="T74" s="31">
        <v>32066.52</v>
      </c>
    </row>
    <row r="75" spans="1:20" x14ac:dyDescent="0.2">
      <c r="A75" s="1" t="s">
        <v>62</v>
      </c>
      <c r="B75" s="21">
        <v>116</v>
      </c>
      <c r="C75" s="31">
        <v>4194713.7999999989</v>
      </c>
      <c r="D75" s="20">
        <v>27</v>
      </c>
      <c r="E75" s="3">
        <f>440023.2-13124.16</f>
        <v>426899.04000000004</v>
      </c>
      <c r="F75" s="20">
        <v>28</v>
      </c>
      <c r="G75" s="3">
        <v>721221.75287999993</v>
      </c>
      <c r="H75" s="24">
        <v>6</v>
      </c>
      <c r="I75" s="29">
        <v>345135.61999999994</v>
      </c>
      <c r="J75" s="31">
        <f t="shared" si="2"/>
        <v>5687970.2128799986</v>
      </c>
      <c r="K75" s="31">
        <v>179753.16</v>
      </c>
      <c r="L75" s="31">
        <v>4194713.8</v>
      </c>
      <c r="M75" s="21">
        <v>27</v>
      </c>
      <c r="N75" s="31">
        <v>440023.1999999999</v>
      </c>
      <c r="O75" s="21">
        <v>28</v>
      </c>
      <c r="P75" s="31">
        <v>721221.75287999993</v>
      </c>
      <c r="Q75" s="21">
        <v>6</v>
      </c>
      <c r="R75" s="31">
        <v>345135.61999999994</v>
      </c>
      <c r="S75" s="31">
        <f t="shared" si="3"/>
        <v>5701094.3728799997</v>
      </c>
      <c r="T75" s="31">
        <v>179753.16</v>
      </c>
    </row>
    <row r="76" spans="1:20" x14ac:dyDescent="0.2">
      <c r="A76" s="1" t="s">
        <v>1</v>
      </c>
      <c r="B76" s="21">
        <v>57</v>
      </c>
      <c r="C76" s="31">
        <v>2019224.9599999997</v>
      </c>
      <c r="D76" s="20">
        <v>12</v>
      </c>
      <c r="E76" s="3">
        <f>218293.31-13375.04</f>
        <v>204918.27</v>
      </c>
      <c r="F76" s="20">
        <v>13</v>
      </c>
      <c r="G76" s="3">
        <v>337891.60000000003</v>
      </c>
      <c r="H76" s="24">
        <v>3</v>
      </c>
      <c r="I76" s="29">
        <v>173740.13</v>
      </c>
      <c r="J76" s="31">
        <f t="shared" si="2"/>
        <v>2735774.9599999995</v>
      </c>
      <c r="K76" s="31">
        <v>63917.09</v>
      </c>
      <c r="L76" s="31">
        <v>2019224.9599999997</v>
      </c>
      <c r="M76" s="21">
        <v>12</v>
      </c>
      <c r="N76" s="31">
        <v>218293.31</v>
      </c>
      <c r="O76" s="21">
        <v>13</v>
      </c>
      <c r="P76" s="31">
        <v>337891.60000000003</v>
      </c>
      <c r="Q76" s="21">
        <v>3</v>
      </c>
      <c r="R76" s="31">
        <v>173740.13</v>
      </c>
      <c r="S76" s="31">
        <f t="shared" si="3"/>
        <v>2749149.9999999995</v>
      </c>
      <c r="T76" s="31">
        <v>63917.09</v>
      </c>
    </row>
    <row r="77" spans="1:20" x14ac:dyDescent="0.2">
      <c r="A77" s="1" t="s">
        <v>42</v>
      </c>
      <c r="B77" s="21">
        <f>39-4</f>
        <v>35</v>
      </c>
      <c r="C77" s="31">
        <f>1587037.35-127410.3</f>
        <v>1459627.05</v>
      </c>
      <c r="D77" s="20">
        <v>9</v>
      </c>
      <c r="E77" s="3">
        <f>185454.37-35968.59</f>
        <v>149485.78</v>
      </c>
      <c r="F77" s="21">
        <v>11</v>
      </c>
      <c r="G77" s="3">
        <v>231386.34999999998</v>
      </c>
      <c r="H77" s="25">
        <v>2</v>
      </c>
      <c r="I77" s="29">
        <v>140856.79999999999</v>
      </c>
      <c r="J77" s="31">
        <f>+C77+E77+G77+I77</f>
        <v>1981355.9800000002</v>
      </c>
      <c r="K77" s="31">
        <v>47291.9</v>
      </c>
      <c r="L77" s="31">
        <v>1587037.3499999996</v>
      </c>
      <c r="M77" s="21">
        <v>11</v>
      </c>
      <c r="N77" s="31">
        <v>185454.37</v>
      </c>
      <c r="O77" s="21">
        <v>11</v>
      </c>
      <c r="P77" s="31">
        <v>231386.34999999998</v>
      </c>
      <c r="Q77" s="21">
        <v>2</v>
      </c>
      <c r="R77" s="31">
        <v>140856.79999999999</v>
      </c>
      <c r="S77" s="31">
        <f t="shared" si="3"/>
        <v>2144734.8699999996</v>
      </c>
      <c r="T77" s="31">
        <v>47291.9</v>
      </c>
    </row>
  </sheetData>
  <mergeCells count="7">
    <mergeCell ref="B1:I1"/>
    <mergeCell ref="S1:S2"/>
    <mergeCell ref="T1:T2"/>
    <mergeCell ref="J1:J2"/>
    <mergeCell ref="K1:K2"/>
    <mergeCell ref="L1:L2"/>
    <mergeCell ref="M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 Zhang</dc:creator>
  <cp:lastModifiedBy>Danielle Lueking</cp:lastModifiedBy>
  <dcterms:created xsi:type="dcterms:W3CDTF">2017-03-17T14:46:08Z</dcterms:created>
  <dcterms:modified xsi:type="dcterms:W3CDTF">2018-06-27T14:57:16Z</dcterms:modified>
</cp:coreProperties>
</file>